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bU7/Eyrsr9Xx/Zy6RZOgUxHTh+WBZfja7cDSrhxwYlku7YTANy7NJnazkdT9ky4pJHB8UAHViagXKLeGy6/YtA==" workbookSaltValue="2u6jCGy3Z8Ihn64JtSc9rg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AC298" i="83"/>
  <c r="S279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H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G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190" i="83" l="1"/>
  <c r="AI300" i="83"/>
  <c r="AI214" i="83"/>
  <c r="AC334" i="83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278" i="83" l="1"/>
  <c r="Y112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P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78" i="83" l="1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<sst xmlns="http://schemas.openxmlformats.org/spreadsheetml/2006/main" count="65909" uniqueCount="755">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</sst>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13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13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0.64615324375191718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0.15110040085474083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0.11817919792657755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8.399882499129141E-2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5.6833247547299307E-4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6.6170878306011774E-2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7.0261683960351248E-2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6.9261683960351261E-2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6.726168396035126E-2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1.0952281031148129E-2</v>
      </c>
      <c r="AB4" s="2">
        <f>SUMIFS(PERSALDATA!$G$2:$G$20871,PERSALDATA!$A$2:$A$20871,WORKING!A4,PERSALDATA!$D$2:$D$20871,WORKING!B4,PERSALDATA!$E$2:$E$20871,WORKING!C4,PERSALDATA!$F$2:$F$20871,"S&amp;W: BASIC SALARY (RES)")</f>
        <v>6</v>
      </c>
      <c r="AC4" s="2">
        <f>SUMIFS(PERSALDATA!$H$2:$H$20871,PERSALDATA!$A$2:$A$20871,WORKING!A4,PERSALDATA!$D$2:$D$20871,WORKING!B4,PERSALDATA!$E$2:$E$20871,WORKING!C4)</f>
        <v>61548.480000000003</v>
      </c>
    </row>
    <row r="5" spans="1:29" x14ac:dyDescent="0.25">
      <c r="A5" s="2">
        <f>Results!$D$3</f>
        <v>13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13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13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0.62353053915942214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3.9707733687073483E-2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0.1085339093095822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3.1341492039769922E-2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4.1547598794929051E-2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4.3993746379511207E-2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0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3.2642003914973159E-4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0.10549237570821605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5.5261848823462273E-3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6.8333089275600764E-2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6.9537874888828122E-2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6.8537874888828121E-2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6.6537874888828119E-2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1.2743881077845087E-2</v>
      </c>
      <c r="AB7" s="2">
        <f>SUMIFS(PERSALDATA!$G$2:$G$20871,PERSALDATA!$A$2:$A$20871,WORKING!A7,PERSALDATA!$D$2:$D$20871,WORKING!B7,PERSALDATA!$E$2:$E$20871,WORKING!C7,PERSALDATA!$F$2:$F$20871,"S&amp;W: BASIC SALARY (RES)")</f>
        <v>13</v>
      </c>
      <c r="AC7" s="2">
        <f>SUMIFS(PERSALDATA!$H$2:$H$20871,PERSALDATA!$A$2:$A$20871,WORKING!A7,PERSALDATA!$D$2:$D$20871,WORKING!B7,PERSALDATA!$E$2:$E$20871,WORKING!C7)</f>
        <v>232185.5</v>
      </c>
    </row>
    <row r="8" spans="1:29" x14ac:dyDescent="0.25">
      <c r="A8" s="2">
        <f>Results!$D$3</f>
        <v>13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0.59950031426562467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9.0164246541988111E-2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0.14339852766530628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7.2425945560686798E-4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8.4028630484957359E-2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7.7934419137941663E-2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0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2.4477870296742263E-4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4.0048237456076531E-3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6.6278112724226124E-2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6.9826444180621325E-2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6.8826444180621296E-2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6.6826444180621308E-2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1.1584920947201535E-2</v>
      </c>
      <c r="AB8" s="2">
        <f>SUMIFS(PERSALDATA!$G$2:$G$20871,PERSALDATA!$A$2:$A$20871,WORKING!A8,PERSALDATA!$D$2:$D$20871,WORKING!B8,PERSALDATA!$E$2:$E$20871,WORKING!C8,PERSALDATA!$F$2:$F$20871,"S&amp;W: BASIC SALARY (RES)")</f>
        <v>13</v>
      </c>
      <c r="AC8" s="2">
        <f>SUMIFS(PERSALDATA!$H$2:$H$20871,PERSALDATA!$A$2:$A$20871,WORKING!A8,PERSALDATA!$D$2:$D$20871,WORKING!B8,PERSALDATA!$E$2:$E$20871,WORKING!C8)</f>
        <v>309626.61</v>
      </c>
    </row>
    <row r="9" spans="1:29" x14ac:dyDescent="0.25">
      <c r="A9" s="2">
        <f>Results!$D$3</f>
        <v>13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0.76041772578878697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6.144707920199001E-2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4.6731182131808553E-2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1.7444537875339897E-4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2.3097860334940792E-2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9.5090007797026949E-2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0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1.3415743537006707E-4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1.2907541931323287E-2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0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7.2771800202671724E-2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6.987915608370604E-2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6.8879156083706039E-2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6.6879156083706023E-2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1.3950552001468209E-2</v>
      </c>
      <c r="AB9" s="2">
        <f>SUMIFS(PERSALDATA!$G$2:$G$20871,PERSALDATA!$A$2:$A$20871,WORKING!A9,PERSALDATA!$D$2:$D$20871,WORKING!B9,PERSALDATA!$E$2:$E$20871,WORKING!C9,PERSALDATA!$F$2:$F$20871,"S&amp;W: BASIC SALARY (RES)")</f>
        <v>13</v>
      </c>
      <c r="AC9" s="2">
        <f>SUMIFS(PERSALDATA!$H$2:$H$20871,PERSALDATA!$A$2:$A$20871,WORKING!A9,PERSALDATA!$D$2:$D$20871,WORKING!B9,PERSALDATA!$E$2:$E$20871,WORKING!C9)</f>
        <v>564933.28</v>
      </c>
    </row>
    <row r="10" spans="1:29" x14ac:dyDescent="0.25">
      <c r="A10" s="2">
        <f>Results!$D$3</f>
        <v>13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0.74183978849240939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0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7.1769122321946419E-2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1.1431325995837691E-2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4.1660978714524316E-2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8.3277998841626441E-2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0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2.0339568624712733E-4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4.9817389947408683E-2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7.1128800405535417E-2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6.9907223457498419E-2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6.8907223457498404E-2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6.6907223457498402E-2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1.3295497549159232E-2</v>
      </c>
      <c r="AB10" s="2">
        <f>SUMIFS(PERSALDATA!$G$2:$G$20871,PERSALDATA!$A$2:$A$20871,WORKING!A10,PERSALDATA!$D$2:$D$20871,WORKING!B10,PERSALDATA!$E$2:$E$20871,WORKING!C10,PERSALDATA!$F$2:$F$20871,"S&amp;W: BASIC SALARY (RES)")</f>
        <v>7</v>
      </c>
      <c r="AC10" s="2">
        <f>SUMIFS(PERSALDATA!$H$2:$H$20871,PERSALDATA!$A$2:$A$20871,WORKING!A10,PERSALDATA!$D$2:$D$20871,WORKING!B10,PERSALDATA!$E$2:$E$20871,WORKING!C10)</f>
        <v>200643.38999999998</v>
      </c>
    </row>
    <row r="11" spans="1:29" x14ac:dyDescent="0.25">
      <c r="A11" s="2">
        <f>Results!$D$3</f>
        <v>13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0.68879523305542967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8.7042760256111712E-2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2.8542787728544905E-2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7.7936081892791857E-3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3.6021677703607681E-2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8.9542972543095442E-2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0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1.5848043091182552E-4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6.2102480093019587E-2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7.4335051620481096E-2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7.025489728826867E-2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6.9254897288268669E-2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6.7254897288268667E-2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1.4029155812054033E-2</v>
      </c>
      <c r="AB11" s="2">
        <f>SUMIFS(PERSALDATA!$G$2:$G$20871,PERSALDATA!$A$2:$A$20871,WORKING!A11,PERSALDATA!$D$2:$D$20871,WORKING!B11,PERSALDATA!$E$2:$E$20871,WORKING!C11,PERSALDATA!$F$2:$F$20871,"S&amp;W: BASIC SALARY (RES)")</f>
        <v>8</v>
      </c>
      <c r="AC11" s="2">
        <f>SUMIFS(PERSALDATA!$H$2:$H$20871,PERSALDATA!$A$2:$A$20871,WORKING!A11,PERSALDATA!$D$2:$D$20871,WORKING!B11,PERSALDATA!$E$2:$E$20871,WORKING!C11)</f>
        <v>294295.01</v>
      </c>
    </row>
    <row r="12" spans="1:29" x14ac:dyDescent="0.25">
      <c r="A12" s="2">
        <f>Results!$D$3</f>
        <v>13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0.56597908169390698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0.26345323438641421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4.1339845047925795E-2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0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5.5550416783150293E-2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7.3577000715007071E-2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1.0042137359558641E-4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0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7.3635877611321732E-2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7.0419857801268013E-2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6.9419857801267998E-2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6.7419857801267996E-2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1.3545139751929926E-2</v>
      </c>
      <c r="AB12" s="2">
        <f>SUMIFS(PERSALDATA!$G$2:$G$20871,PERSALDATA!$A$2:$A$20871,WORKING!A12,PERSALDATA!$D$2:$D$20871,WORKING!B12,PERSALDATA!$E$2:$E$20871,WORKING!C12,PERSALDATA!$F$2:$F$20871,"S&amp;W: BASIC SALARY (RES)")</f>
        <v>2</v>
      </c>
      <c r="AC12" s="2">
        <f>SUMIFS(PERSALDATA!$H$2:$H$20871,PERSALDATA!$A$2:$A$20871,WORKING!A12,PERSALDATA!$D$2:$D$20871,WORKING!B12,PERSALDATA!$E$2:$E$20871,WORKING!C12)</f>
        <v>116110.74</v>
      </c>
    </row>
    <row r="13" spans="1:29" x14ac:dyDescent="0.25">
      <c r="A13" s="2">
        <f>Results!$D$3</f>
        <v>13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0.77937010605958545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5.4063866402892843E-3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0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5.8830261435641315E-4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2.7272358510782718E-2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9.2254080213365272E-2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1.1418978032021204E-4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9.4994576181300625E-2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0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1.4589201775633456E-2</v>
      </c>
      <c r="AB13" s="2">
        <f>SUMIFS(PERSALDATA!$G$2:$G$20871,PERSALDATA!$A$2:$A$20871,WORKING!A13,PERSALDATA!$D$2:$D$20871,WORKING!B13,PERSALDATA!$E$2:$E$20871,WORKING!C13,PERSALDATA!$F$2:$F$20871,"S&amp;W: BASIC SALARY (RES)")</f>
        <v>10</v>
      </c>
      <c r="AC13" s="2">
        <f>SUMIFS(PERSALDATA!$H$2:$H$20871,PERSALDATA!$A$2:$A$20871,WORKING!A13,PERSALDATA!$D$2:$D$20871,WORKING!B13,PERSALDATA!$E$2:$E$20871,WORKING!C13)</f>
        <v>510553.57</v>
      </c>
    </row>
    <row r="14" spans="1:29" x14ac:dyDescent="0.25">
      <c r="A14" s="2">
        <f>Results!$D$3</f>
        <v>13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0.81130021512774531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0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3.9969834742157366E-2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0.10546871172993737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0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1.0845057549493211E-4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4.3152787824664994E-2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0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1.4398825720235214E-2</v>
      </c>
      <c r="AB14" s="2">
        <f>SUMIFS(PERSALDATA!$G$2:$G$20871,PERSALDATA!$A$2:$A$20871,WORKING!A14,PERSALDATA!$D$2:$D$20871,WORKING!B14,PERSALDATA!$E$2:$E$20871,WORKING!C14,PERSALDATA!$F$2:$F$20871,"S&amp;W: BASIC SALARY (RES)")</f>
        <v>3</v>
      </c>
      <c r="AC14" s="2">
        <f>SUMIFS(PERSALDATA!$H$2:$H$20871,PERSALDATA!$A$2:$A$20871,WORKING!A14,PERSALDATA!$D$2:$D$20871,WORKING!B14,PERSALDATA!$E$2:$E$20871,WORKING!C14)</f>
        <v>161271.62</v>
      </c>
    </row>
    <row r="15" spans="1:29" x14ac:dyDescent="0.25">
      <c r="A15" s="2">
        <f>Results!$D$3</f>
        <v>13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0.62412302744431647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5.5238611254105077E-2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1.7643527939173206E-3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1.7006808820275353E-2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8.1135723946904353E-2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6.855166136979659E-5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0.19159096406558951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2.9071960013521962E-2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1.4717404300866562E-2</v>
      </c>
      <c r="AB15" s="2">
        <f>SUMIFS(PERSALDATA!$G$2:$G$20871,PERSALDATA!$A$2:$A$20871,WORKING!A15,PERSALDATA!$D$2:$D$20871,WORKING!B15,PERSALDATA!$E$2:$E$20871,WORKING!C15,PERSALDATA!$F$2:$F$20871,"S&amp;W: BASIC SALARY (RES)")</f>
        <v>20</v>
      </c>
      <c r="AC15" s="2">
        <f>SUMIFS(PERSALDATA!$H$2:$H$20871,PERSALDATA!$A$2:$A$20871,WORKING!A15,PERSALDATA!$D$2:$D$20871,WORKING!B15,PERSALDATA!$E$2:$E$20871,WORKING!C15)</f>
        <v>1700906.99</v>
      </c>
    </row>
    <row r="16" spans="1:29" x14ac:dyDescent="0.25">
      <c r="A16" s="2">
        <f>Results!$D$3</f>
        <v>13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0.74119246765827351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1.8954204567108899E-3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1.5055565802540925E-3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1.3585389801922804E-2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9.6354875885754698E-2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3.949827688296612E-5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0.13571911306638082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9.7076782738203631E-3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1.4773043330114102E-2</v>
      </c>
      <c r="AB16" s="2">
        <f>SUMIFS(PERSALDATA!$G$2:$G$20871,PERSALDATA!$A$2:$A$20871,WORKING!A16,PERSALDATA!$D$2:$D$20871,WORKING!B16,PERSALDATA!$E$2:$E$20871,WORKING!C16,PERSALDATA!$F$2:$F$20871,"S&amp;W: BASIC SALARY (RES)")</f>
        <v>9</v>
      </c>
      <c r="AC16" s="2">
        <f>SUMIFS(PERSALDATA!$H$2:$H$20871,PERSALDATA!$A$2:$A$20871,WORKING!A16,PERSALDATA!$D$2:$D$20871,WORKING!B16,PERSALDATA!$E$2:$E$20871,WORKING!C16)</f>
        <v>1328412.3799999999</v>
      </c>
    </row>
    <row r="17" spans="1:29" x14ac:dyDescent="0.25">
      <c r="A17" s="2">
        <f>Results!$D$3</f>
        <v>13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0.67207931732513493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6.2236385848529301E-2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5.2422156762160992E-2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5.2980919162785873E-5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0.21320915914501187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1.4999205286212555E-2</v>
      </c>
      <c r="AB17" s="2">
        <f>SUMIFS(PERSALDATA!$G$2:$G$20871,PERSALDATA!$A$2:$A$20871,WORKING!A17,PERSALDATA!$D$2:$D$20871,WORKING!B17,PERSALDATA!$E$2:$E$20871,WORKING!C17,PERSALDATA!$F$2:$F$20871,"S&amp;W: BASIC SALARY (RES)")</f>
        <v>5</v>
      </c>
      <c r="AC17" s="2">
        <f>SUMIFS(PERSALDATA!$H$2:$H$20871,PERSALDATA!$A$2:$A$20871,WORKING!A17,PERSALDATA!$D$2:$D$20871,WORKING!B17,PERSALDATA!$E$2:$E$20871,WORKING!C17)</f>
        <v>550198.08000000007</v>
      </c>
    </row>
    <row r="18" spans="1:29" x14ac:dyDescent="0.25">
      <c r="A18" s="2">
        <f>Results!$D$3</f>
        <v>13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0.62432739373440926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0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9.284014236648019E-3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0.11889604562338524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1.3702734936622265E-5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0.2474788436706209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1.4860534245426231E-2</v>
      </c>
      <c r="AB18" s="2">
        <f>SUMIFS(PERSALDATA!$G$2:$G$20871,PERSALDATA!$A$2:$A$20871,WORKING!A18,PERSALDATA!$D$2:$D$20871,WORKING!B18,PERSALDATA!$E$2:$E$20871,WORKING!C18,PERSALDATA!$F$2:$F$20871,"S&amp;W: BASIC SALARY (RES)")</f>
        <v>2</v>
      </c>
      <c r="AC18" s="2">
        <f>SUMIFS(PERSALDATA!$H$2:$H$20871,PERSALDATA!$A$2:$A$20871,WORKING!A18,PERSALDATA!$D$2:$D$20871,WORKING!B18,PERSALDATA!$E$2:$E$20871,WORKING!C18)</f>
        <v>425462.51</v>
      </c>
    </row>
    <row r="19" spans="1:29" x14ac:dyDescent="0.25">
      <c r="A19" s="2">
        <f>Results!$D$3</f>
        <v>13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13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13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13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13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13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13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13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13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13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13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13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13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13</v>
      </c>
      <c r="B32" s="2">
        <v>2</v>
      </c>
      <c r="C32" s="2">
        <v>13</v>
      </c>
      <c r="D32" s="62" t="str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/>
      </c>
      <c r="E32" s="62" t="str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/>
      </c>
      <c r="F32" s="62" t="str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/>
      </c>
      <c r="G32" s="69" t="str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/>
      </c>
      <c r="H32" s="62" t="str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/>
      </c>
      <c r="I32" s="62" t="str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/>
      </c>
      <c r="J32" s="62" t="str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/>
      </c>
      <c r="K32" s="62" t="str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/>
      </c>
      <c r="L32" s="62" t="str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/>
      </c>
      <c r="M32" s="62" t="str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/>
      </c>
      <c r="N32" s="62" t="str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/>
      </c>
      <c r="O32" s="62" t="str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/>
      </c>
      <c r="P32" s="62" t="str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/>
      </c>
      <c r="Q32" s="62" t="str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/>
      </c>
      <c r="R32" s="62" t="str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/>
      </c>
      <c r="S32" s="62" t="str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/>
      </c>
      <c r="T32" s="62" t="str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/>
      </c>
      <c r="U32" s="62" t="str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/>
      </c>
      <c r="V32" s="62" t="str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/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0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13</v>
      </c>
      <c r="B33" s="2">
        <v>2</v>
      </c>
      <c r="C33" s="2">
        <v>14</v>
      </c>
      <c r="D33" s="62" t="str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/>
      </c>
      <c r="E33" s="62" t="str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/>
      </c>
      <c r="F33" s="62" t="str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/>
      </c>
      <c r="G33" s="69" t="str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/>
      </c>
      <c r="H33" s="62" t="str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/>
      </c>
      <c r="I33" s="62" t="str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/>
      </c>
      <c r="J33" s="62" t="str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/>
      </c>
      <c r="K33" s="62" t="str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/>
      </c>
      <c r="L33" s="62" t="str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/>
      </c>
      <c r="M33" s="62" t="str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/>
      </c>
      <c r="N33" s="62" t="str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/>
      </c>
      <c r="O33" s="62" t="str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/>
      </c>
      <c r="P33" s="62" t="str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/>
      </c>
      <c r="Q33" s="62" t="str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/>
      </c>
      <c r="R33" s="62" t="str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/>
      </c>
      <c r="S33" s="62" t="str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/>
      </c>
      <c r="T33" s="62" t="str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/>
      </c>
      <c r="U33" s="62" t="str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/>
      </c>
      <c r="V33" s="62" t="str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/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0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13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13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13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13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13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13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13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13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13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13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13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13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13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13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13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13</v>
      </c>
      <c r="B49" s="2">
        <v>3</v>
      </c>
      <c r="C49" s="2">
        <v>13</v>
      </c>
      <c r="D49" s="62" t="str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/>
      </c>
      <c r="E49" s="62" t="str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/>
      </c>
      <c r="F49" s="62" t="str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/>
      </c>
      <c r="G49" s="69" t="str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/>
      </c>
      <c r="H49" s="62" t="str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/>
      </c>
      <c r="I49" s="62" t="str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/>
      </c>
      <c r="J49" s="62" t="str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/>
      </c>
      <c r="K49" s="62" t="str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/>
      </c>
      <c r="L49" s="62" t="str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/>
      </c>
      <c r="M49" s="62" t="str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/>
      </c>
      <c r="N49" s="62" t="str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/>
      </c>
      <c r="O49" s="62" t="str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/>
      </c>
      <c r="P49" s="62" t="str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/>
      </c>
      <c r="Q49" s="62" t="str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/>
      </c>
      <c r="R49" s="62" t="str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/>
      </c>
      <c r="S49" s="62" t="str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/>
      </c>
      <c r="T49" s="62" t="str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/>
      </c>
      <c r="U49" s="62" t="str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/>
      </c>
      <c r="V49" s="62" t="str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/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0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13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13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13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13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13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13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13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13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13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13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13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13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13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13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13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13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13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13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13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13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13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13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13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13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13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13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13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13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13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13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13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13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13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13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13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13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13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13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13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13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13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13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13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13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13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13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13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13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13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13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13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13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13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13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13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13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13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13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13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13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13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13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13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13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13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13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13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13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13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13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13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13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13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13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13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13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13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13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13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13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13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13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13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13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13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13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13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13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13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13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13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13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13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13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13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13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13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13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13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13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13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13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13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13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13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13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13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13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13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13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13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13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13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13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13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13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13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13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13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13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13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13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13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13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13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13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13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13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13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13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13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13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13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13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13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13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13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13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13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13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13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13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13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13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13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13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13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13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13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13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13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13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13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13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13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13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13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13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13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13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13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13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13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13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13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13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13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13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13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13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13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13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13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13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13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13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13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13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13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13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13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13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13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13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13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13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13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13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13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13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13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13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13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13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13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13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13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13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13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13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13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13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13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13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13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13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13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13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13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13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13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13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13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13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13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13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13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13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13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13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13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13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13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13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13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E4" sqref="E4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13</v>
      </c>
      <c r="E3" s="74" t="str">
        <f>INDEX(MAPs!$I$7:$J$54,MATCH(Results!$D$3,MAPs!$I$7:$I$54,0),2)</f>
        <v>Women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37</v>
      </c>
      <c r="N9" s="148">
        <f>IFERROR(SUMIFS('Employee Profile (2)'!C$4:C$50,'Employee Profile (2)'!$B$4:$B$50,Results!$D$3),"")</f>
        <v>0.33333333333333331</v>
      </c>
      <c r="O9" s="150" t="s">
        <v>620</v>
      </c>
      <c r="P9" s="143">
        <f>IFERROR(INDEX('Employee Profile (2)'!$AC$4:$AC$50,MATCH(Results!$D$3,'Employee Profile (2)'!$B$4:$B$50,0))*$Q9,"")</f>
        <v>86.04651162790698</v>
      </c>
      <c r="Q9" s="148">
        <f>IFERROR(SUMIFS('Employee Profile (2)'!J$4:J$50,'Employee Profile (2)'!$B$4:$B$50,Results!$D$3),"")</f>
        <v>0.77519379844961245</v>
      </c>
      <c r="R9" s="150" t="s">
        <v>627</v>
      </c>
      <c r="S9" s="144">
        <f>IFERROR(INDEX('Employee Profile (2)'!$AC$4:$AC$50,MATCH(Results!$D$3,'Employee Profile (2)'!$B$4:$B$50,0))*$T9,"")</f>
        <v>1.7209302325581395</v>
      </c>
      <c r="T9" s="147">
        <f>IFERROR(SUMIFS('Employee Profile (2)'!N$4:N$50,'Employee Profile (2)'!$B$4:$B$50,Results!$D$3),"")</f>
        <v>1.5503875968992248E-2</v>
      </c>
      <c r="U9" s="150" t="s">
        <v>632</v>
      </c>
      <c r="V9" s="144">
        <f>IFERROR(INDEX('Employee Profile (2)'!$AC$4:$AC$50,MATCH(Results!$D$3,'Employee Profile (2)'!$B$4:$B$50,0))*$W9,"")</f>
        <v>65.395348837209312</v>
      </c>
      <c r="W9" s="147">
        <f>IFERROR(SUMIFS('Employee Profile (2)'!S$4:S$50,'Employee Profile (2)'!$B$4:$B$50,Results!$D$3),"")</f>
        <v>0.58914728682170547</v>
      </c>
      <c r="X9" s="150" t="s">
        <v>635</v>
      </c>
      <c r="Y9" s="144">
        <f>IFERROR(INDEX('Employee Profile (2)'!$AC$4:$AC$50,MATCH(Results!$D$3,'Employee Profile (2)'!$B$4:$B$50,0))*$Z9,"")</f>
        <v>90.348837209302332</v>
      </c>
      <c r="Z9" s="147">
        <f>IFERROR(SUMIFS('Employee Profile (2)'!V$4:V$50,'Employee Profile (2)'!$B$4:$B$50,Results!$D$3),"")</f>
        <v>0.81395348837209303</v>
      </c>
      <c r="AA9" s="150" t="s">
        <v>675</v>
      </c>
      <c r="AB9" s="144">
        <f>IFERROR(SUMIFS('Employee Profile (2)'!$AD$4:$AD$50,'Employee Profile (2)'!$B$4:$B$50,Results!$D$3),"")</f>
        <v>111</v>
      </c>
      <c r="AC9" s="147">
        <f>IFERROR(SUMIFS('Employee Profile (2)'!$AE$4:$AE$50,'Employee Profile (2)'!$B$4:$B$50,Results!$D$3),"")</f>
        <v>1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44.744186046511629</v>
      </c>
      <c r="N10" s="148">
        <f>IFERROR(SUMIFS('Employee Profile (2)'!D$4:D$50,'Employee Profile (2)'!$B$4:$B$50,Results!$D$3),"")</f>
        <v>0.40310077519379844</v>
      </c>
      <c r="O10" s="150" t="s">
        <v>621</v>
      </c>
      <c r="P10" s="143">
        <f>IFERROR(INDEX('Employee Profile (2)'!$AC$4:$AC$50,MATCH(Results!$D$3,'Employee Profile (2)'!$B$4:$B$50,0))*$Q10,"")</f>
        <v>19.790697674418606</v>
      </c>
      <c r="Q10" s="148">
        <f>IFERROR(SUMIFS('Employee Profile (2)'!K$4:K$50,'Employee Profile (2)'!$B$4:$B$50,Results!$D$3),"")</f>
        <v>0.17829457364341086</v>
      </c>
      <c r="R10" s="150" t="s">
        <v>628</v>
      </c>
      <c r="S10" s="144">
        <f>IFERROR(INDEX('Employee Profile (2)'!$AC$4:$AC$50,MATCH(Results!$D$3,'Employee Profile (2)'!$B$4:$B$50,0))*$T10,"")</f>
        <v>34.418604651162788</v>
      </c>
      <c r="T10" s="147">
        <f>IFERROR(SUMIFS('Employee Profile (2)'!O$4:O$50,'Employee Profile (2)'!$B$4:$B$50,Results!$D$3),"")</f>
        <v>0.31007751937984496</v>
      </c>
      <c r="U10" s="150" t="s">
        <v>633</v>
      </c>
      <c r="V10" s="144">
        <f>IFERROR(INDEX('Employee Profile (2)'!$AC$4:$AC$50,MATCH(Results!$D$3,'Employee Profile (2)'!$B$4:$B$50,0))*$W10,"")</f>
        <v>31.837209302325583</v>
      </c>
      <c r="W10" s="147">
        <f>IFERROR(SUMIFS('Employee Profile (2)'!T$4:T$50,'Employee Profile (2)'!$B$4:$B$50,Results!$D$3),"")</f>
        <v>0.2868217054263566</v>
      </c>
      <c r="X10" s="150" t="s">
        <v>636</v>
      </c>
      <c r="Y10" s="144">
        <f>IFERROR(INDEX('Employee Profile (2)'!$AC$4:$AC$50,MATCH(Results!$D$3,'Employee Profile (2)'!$B$4:$B$50,0))*$Z10,"")</f>
        <v>1.7209302325581395</v>
      </c>
      <c r="Z10" s="147">
        <f>IFERROR(SUMIFS('Employee Profile (2)'!W$4:W$50,'Employee Profile (2)'!$B$4:$B$50,Results!$D$3),"")</f>
        <v>1.5503875968992248E-2</v>
      </c>
      <c r="AA10" s="150" t="s">
        <v>676</v>
      </c>
      <c r="AB10" s="144">
        <f>IFERROR(INDEX('Employee Profile (2)'!$AC$4:$AC$50,MATCH(Results!$D$3,'Employee Profile (2)'!$B$4:$B$50))-$AB$9,"")</f>
        <v>0</v>
      </c>
      <c r="AC10" s="147">
        <f>IFERROR(100%-$AC$9,"")</f>
        <v>0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7.7441860465116275</v>
      </c>
      <c r="N11" s="148">
        <f>IFERROR(SUMIFS('Employee Profile (2)'!E$4:E$50,'Employee Profile (2)'!$B$4:$B$50,Results!$D$3),"")</f>
        <v>6.9767441860465115E-2</v>
      </c>
      <c r="O11" s="150" t="s">
        <v>622</v>
      </c>
      <c r="P11" s="143">
        <f>IFERROR(INDEX('Employee Profile (2)'!$AC$4:$AC$50,MATCH(Results!$D$3,'Employee Profile (2)'!$B$4:$B$50,0))*$Q11,"")</f>
        <v>4.3023255813953485</v>
      </c>
      <c r="Q11" s="148">
        <f>IFERROR(SUMIFS('Employee Profile (2)'!L$4:L$50,'Employee Profile (2)'!$B$4:$B$50,Results!$D$3),"")</f>
        <v>3.875968992248062E-2</v>
      </c>
      <c r="R11" s="150" t="s">
        <v>629</v>
      </c>
      <c r="S11" s="144">
        <f>IFERROR(INDEX('Employee Profile (2)'!$AC$4:$AC$50,MATCH(Results!$D$3,'Employee Profile (2)'!$B$4:$B$50,0))*$T11,"")</f>
        <v>44.744186046511629</v>
      </c>
      <c r="T11" s="147">
        <f>IFERROR(SUMIFS('Employee Profile (2)'!P$4:P$50,'Employee Profile (2)'!$B$4:$B$50,Results!$D$3),"")</f>
        <v>0.40310077519379844</v>
      </c>
      <c r="U11" s="150" t="s">
        <v>53</v>
      </c>
      <c r="V11" s="144">
        <f>IFERROR(INDEX('Employee Profile (2)'!$AC$4:$AC$50,MATCH(Results!$D$3,'Employee Profile (2)'!$B$4:$B$50,0))*$W11,"")</f>
        <v>13.767441860465116</v>
      </c>
      <c r="W11" s="147">
        <f>IFERROR(SUMIFS('Employee Profile (2)'!U$4:U$50,'Employee Profile (2)'!$B$4:$B$50,Results!$D$3),"")</f>
        <v>0.12403100775193798</v>
      </c>
      <c r="X11" s="150" t="s">
        <v>637</v>
      </c>
      <c r="Y11" s="144">
        <f>IFERROR(INDEX('Employee Profile (2)'!$AC$4:$AC$50,MATCH(Results!$D$3,'Employee Profile (2)'!$B$4:$B$50,0))*$Z11,"")</f>
        <v>1.7209302325581395</v>
      </c>
      <c r="Z11" s="147">
        <f>IFERROR(SUMIFS('Employee Profile (2)'!X$4:X$50,'Employee Profile (2)'!$B$4:$B$50,Results!$D$3),"")</f>
        <v>1.5503875968992248E-2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6.0232558139534884</v>
      </c>
      <c r="N12" s="148">
        <f>IFERROR(SUMIFS('Employee Profile (2)'!F$4:F$50,'Employee Profile (2)'!$B$4:$B$50,Results!$D$3),"")</f>
        <v>5.4263565891472867E-2</v>
      </c>
      <c r="O12" s="150" t="s">
        <v>623</v>
      </c>
      <c r="P12" s="143">
        <f>IFERROR(INDEX('Employee Profile (2)'!$AC$4:$AC$50,MATCH(Results!$D$3,'Employee Profile (2)'!$B$4:$B$50,0))*$Q12,"")</f>
        <v>0.86046511627906974</v>
      </c>
      <c r="Q12" s="148">
        <f>IFERROR(SUMIFS('Employee Profile (2)'!M$4:M$50,'Employee Profile (2)'!$B$4:$B$50,Results!$D$3),"")</f>
        <v>7.7519379844961239E-3</v>
      </c>
      <c r="R12" s="150" t="s">
        <v>630</v>
      </c>
      <c r="S12" s="144">
        <f>IFERROR(INDEX('Employee Profile (2)'!$AC$4:$AC$50,MATCH(Results!$D$3,'Employee Profile (2)'!$B$4:$B$50,0))*$T12,"")</f>
        <v>3.441860465116279</v>
      </c>
      <c r="T12" s="147">
        <f>IFERROR(SUMIFS('Employee Profile (2)'!Q$4:Q$50,'Employee Profile (2)'!$B$4:$B$50,Results!$D$3),"")</f>
        <v>3.1007751937984496E-2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3.441860465116279</v>
      </c>
      <c r="Z12" s="147">
        <f>IFERROR(SUMIFS('Employee Profile (2)'!Y$4:Y$50,'Employee Profile (2)'!$B$4:$B$50,Results!$D$3),"")</f>
        <v>3.1007751937984496E-2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1.7209302325581395</v>
      </c>
      <c r="N13" s="148">
        <f>IFERROR(SUMIFS('Employee Profile (2)'!G$4:G$50,'Employee Profile (2)'!$B$4:$B$50,Results!$D$3),"")</f>
        <v>1.5503875968992248E-2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26.674418604651162</v>
      </c>
      <c r="T13" s="147">
        <f>IFERROR(SUMIFS('Employee Profile (2)'!R$4:R$50,'Employee Profile (2)'!$B$4:$B$50,Results!$D$3),"")</f>
        <v>0.24031007751937986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13.767441860465116</v>
      </c>
      <c r="Z13" s="147">
        <f>IFERROR(SUMIFS('Employee Profile (2)'!Z$4:Z$50,'Employee Profile (2)'!$B$4:$B$50,Results!$D$3),"")</f>
        <v>0.12403100775193798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6</v>
      </c>
      <c r="H14" s="158">
        <v>1</v>
      </c>
      <c r="I14" s="158">
        <v>2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6</v>
      </c>
      <c r="H15" s="112">
        <f t="shared" ref="H15:J15" si="0">SUM(H9:H14)</f>
        <v>1</v>
      </c>
      <c r="I15" s="112">
        <f t="shared" si="0"/>
        <v>2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13.767441860465116</v>
      </c>
      <c r="N15" s="148">
        <f>IFERROR(SUMIFS('Employee Profile (2)'!I$4:I$50,'Employee Profile (2)'!$B$4:$B$50,Results!$D$3),"")</f>
        <v>0.12403100775193798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6</v>
      </c>
      <c r="H16" s="82">
        <f>SUMIFS($W$64:$W$509,$C$64:$C$509,"Total")</f>
        <v>1</v>
      </c>
      <c r="I16" s="82">
        <f>SUMIFS($AE$64:$AE$509,$C$64:$C$509,"Total")</f>
        <v>2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78</v>
      </c>
      <c r="G29" s="87">
        <f t="shared" ref="G29:G44" si="4">SUMIFS($K$64:$K$509,$A$64:$A$509,B29,$C$64:$C$509,"Total")</f>
        <v>566.30769230769226</v>
      </c>
      <c r="H29" s="83">
        <f t="shared" ref="H29:H44" si="5">SUMIFS($J$64:$J$509,$A$64:$A$509,B29,$C$64:$C$509,"Total")</f>
        <v>44172</v>
      </c>
      <c r="I29" s="21">
        <f t="shared" ref="I29:I44" si="6">-SUMIFS($O$64:$O$509,$A$64:$A$509,$B29,$C$64:$C$509,"Total")+SUMIFS($N$64:$N$509,$A$64:$A$509,$B29,$C$64:$C$509,"Total")</f>
        <v>-2</v>
      </c>
      <c r="J29" s="88">
        <f t="shared" ref="J29:J44" si="7">SUMIFS($P$64:$P$509,$A$64:$A$509,$B29,$C$64:$C$509,"Total")</f>
        <v>76</v>
      </c>
      <c r="K29" s="88">
        <f t="shared" ref="K29:K44" si="8">SUMIFS($M$64:$M$509,$A$64:$A$509,$B29,$C$64:$C$509,"Total")</f>
        <v>615.69991823937619</v>
      </c>
      <c r="L29" s="88">
        <f t="shared" ref="L29:L44" si="9">SUMIFS($R$64:$R$509,$A$64:$A$509,$B29,$C$64:$C$509,"Total")+SUMIFS($Q$64:$Q$509,$A$64:$A$509,$B29,$C$64:$C$509,"Total")</f>
        <v>-118.03319629067391</v>
      </c>
      <c r="M29" s="88">
        <f t="shared" ref="M29:M44" si="10">SUMIFS($S$64:$S$509,$A$64:$A$509,$B29,$C$64:$C$509,"Total")</f>
        <v>46793.193786192591</v>
      </c>
      <c r="N29" s="88">
        <f t="shared" ref="N29:N44" si="11">SUMIFS($S$64:$S$509,$A$64:$A$509,$B29,$C$64:$C$509,"Compensation Budget")</f>
        <v>51363</v>
      </c>
      <c r="O29" s="89">
        <f t="shared" ref="O29:O44" si="12">SUMIFS($S$64:$S$509,$A$64:$A$509,$B29,$C$64:$C$509,"Under/(Over)")</f>
        <v>4569.8062138074092</v>
      </c>
      <c r="P29" s="21">
        <f t="shared" ref="P29:P44" si="13">-SUMIFS($W$64:$W$509,$A$64:$A$509,$B29,$C$64:$C$509,"Total")+SUMIFS($V$64:$V$509,$A$64:$A$509,$B29,$C$64:$C$509,"Total")</f>
        <v>-1</v>
      </c>
      <c r="Q29" s="88">
        <f t="shared" ref="Q29:Q44" si="14">SUMIFS($X$64:$X$509,$A$64:$A$509,$B29,$C$64:$C$509,"Total")</f>
        <v>75</v>
      </c>
      <c r="R29" s="88">
        <f t="shared" ref="R29:R44" si="15">SUMIFS($U$64:$U$509,$A$64:$A$509,$B29,$C$64:$C$509,"Total")</f>
        <v>658.68771858009961</v>
      </c>
      <c r="S29" s="88">
        <f t="shared" ref="S29:S44" si="16">SUMIFS($Z$64:$Z$509,$A$64:$A$509,$B29,$C$64:$C$509,"Total")+SUMIFS($Y$64:$Y$509,$A$64:$A$509,$B29,$C$64:$C$509,"Total")</f>
        <v>-1046.9479356770014</v>
      </c>
      <c r="T29" s="88">
        <f t="shared" ref="T29:T44" si="17">SUMIFS($AA$64:$AA$509,$A$64:$A$509,$B29,$C$64:$C$509,"Total")</f>
        <v>49401.578893507467</v>
      </c>
      <c r="U29" s="88">
        <f t="shared" ref="U29:U44" si="18">SUMIFS($AA$64:$AA$509,$A$64:$A$509,$B29,$C$64:$C$509,"Compensation Budget")</f>
        <v>50214</v>
      </c>
      <c r="V29" s="89">
        <f t="shared" ref="V29:V44" si="19">SUMIFS($AA$64:$AA$509,$A$64:$A$509,$B29,$C$64:$C$509,"Under/(Over)")</f>
        <v>812.421106492533</v>
      </c>
      <c r="W29" s="21">
        <f t="shared" ref="W29:W44" si="20">-SUMIFS($AE$64:$AE$509,$A$64:$A$509,$B29,$C$64:$C$509,"Total")+SUMIFS($AD$64:$AD$509,$A$64:$A$509,$B29,$C$64:$C$509,"Total")</f>
        <v>-2</v>
      </c>
      <c r="X29" s="88">
        <f t="shared" ref="X29:X44" si="21">SUMIFS($AF$64:$AF$509,$A$64:$A$509,$B29,$C$64:$C$509,"Total")</f>
        <v>73</v>
      </c>
      <c r="Y29" s="88">
        <f t="shared" ref="Y29:Y44" si="22">SUMIFS($AC$64:$AC$509,$A$64:$A$509,$B29,$C$64:$C$509,"Total")</f>
        <v>692.50280808181992</v>
      </c>
      <c r="Z29" s="88">
        <f t="shared" ref="Z29:Z44" si="23">SUMIFS($AH$64:$AH$509,$A$64:$A$509,$B29,$C$64:$C$509,"Total")+SUMIFS($AG$64:$AG$509,$A$64:$A$509,$B29,$C$64:$C$509,"Total")</f>
        <v>-2662.1431052617381</v>
      </c>
      <c r="AA29" s="88">
        <f t="shared" ref="AA29:AA44" si="24">SUMIFS($AI$64:$AI$509,$A$64:$A$509,$B29,$C$64:$C$509,"Total")</f>
        <v>50552.704989972852</v>
      </c>
      <c r="AB29" s="88">
        <f t="shared" ref="AB29:AB44" si="25">SUMIFS($AI$64:$AI$509,$A$64:$A$509,$B29,$C$64:$C$509,"Compensation Budget")</f>
        <v>51556</v>
      </c>
      <c r="AC29" s="89">
        <f t="shared" ref="AC29:AC44" si="26">SUMIFS($AI$64:$AI$509,$A$64:$A$509,$B29,$C$64:$C$509,"Under/(Over)")</f>
        <v>1003.2950100271482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73</v>
      </c>
      <c r="AF29" s="88">
        <f t="shared" ref="AF29:AF44" si="29">SUMIFS($AK$64:$AK$509,$A$64:$A$509,$B29,$C$64:$C$509,"Total")</f>
        <v>744.66511312397358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54360.553258050073</v>
      </c>
      <c r="AI29" s="88">
        <f t="shared" ref="AI29:AI44" si="32">SUMIFS($AQ$64:$AQ$509,$A$64:$A$509,$B29,$C$64:$C$509,"Compensation Budget")</f>
        <v>55474.256000000001</v>
      </c>
      <c r="AJ29" s="89">
        <f t="shared" ref="AJ29:AJ44" si="33">SUMIFS($AQ$64:$AQ$509,$A$64:$A$509,$B29,$C$64:$C$509,"Under/(Over)")</f>
        <v>1113.7027419499282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Social Transformation and Economic Empowerment</v>
      </c>
      <c r="D30" s="222">
        <f t="shared" si="2"/>
        <v>0</v>
      </c>
      <c r="E30" s="223">
        <f t="shared" si="2"/>
        <v>0</v>
      </c>
      <c r="F30" s="80">
        <f t="shared" si="3"/>
        <v>9</v>
      </c>
      <c r="G30" s="155">
        <f t="shared" si="4"/>
        <v>525.44444444444446</v>
      </c>
      <c r="H30" s="155">
        <f t="shared" si="5"/>
        <v>4729</v>
      </c>
      <c r="I30" s="23">
        <f t="shared" si="6"/>
        <v>2</v>
      </c>
      <c r="J30" s="22">
        <f t="shared" si="7"/>
        <v>11</v>
      </c>
      <c r="K30" s="22">
        <f t="shared" si="8"/>
        <v>591.18646923344397</v>
      </c>
      <c r="L30" s="22">
        <f t="shared" si="9"/>
        <v>1519.7319847994786</v>
      </c>
      <c r="M30" s="22">
        <f t="shared" si="10"/>
        <v>6503.0511615678843</v>
      </c>
      <c r="N30" s="22">
        <f t="shared" si="11"/>
        <v>7265</v>
      </c>
      <c r="O30" s="91">
        <f t="shared" si="12"/>
        <v>761.94883843211574</v>
      </c>
      <c r="P30" s="23">
        <f t="shared" si="13"/>
        <v>0</v>
      </c>
      <c r="Q30" s="22">
        <f t="shared" si="14"/>
        <v>11</v>
      </c>
      <c r="R30" s="22">
        <f t="shared" si="15"/>
        <v>629.34794178675656</v>
      </c>
      <c r="S30" s="22">
        <f t="shared" si="16"/>
        <v>0</v>
      </c>
      <c r="T30" s="22">
        <f t="shared" si="17"/>
        <v>6922.8273596543222</v>
      </c>
      <c r="U30" s="22">
        <f t="shared" si="18"/>
        <v>7008</v>
      </c>
      <c r="V30" s="91">
        <f t="shared" si="19"/>
        <v>85.172640345677792</v>
      </c>
      <c r="W30" s="23">
        <f t="shared" si="20"/>
        <v>0</v>
      </c>
      <c r="X30" s="22">
        <f t="shared" si="21"/>
        <v>11</v>
      </c>
      <c r="Y30" s="22">
        <f t="shared" si="22"/>
        <v>669.35814503426332</v>
      </c>
      <c r="Z30" s="22">
        <f t="shared" si="23"/>
        <v>0</v>
      </c>
      <c r="AA30" s="22">
        <f t="shared" si="24"/>
        <v>7362.9395953768962</v>
      </c>
      <c r="AB30" s="22">
        <f t="shared" si="25"/>
        <v>7216</v>
      </c>
      <c r="AC30" s="91">
        <f t="shared" si="26"/>
        <v>-146.93959537689625</v>
      </c>
      <c r="AD30" s="23">
        <f t="shared" si="27"/>
        <v>0</v>
      </c>
      <c r="AE30" s="22">
        <f t="shared" si="28"/>
        <v>11</v>
      </c>
      <c r="AF30" s="22">
        <f t="shared" si="29"/>
        <v>710.58893783976805</v>
      </c>
      <c r="AG30" s="22">
        <f t="shared" si="30"/>
        <v>0</v>
      </c>
      <c r="AH30" s="22">
        <f t="shared" si="31"/>
        <v>7816.4783162374488</v>
      </c>
      <c r="AI30" s="22">
        <f t="shared" si="32"/>
        <v>7764.4160000000002</v>
      </c>
      <c r="AJ30" s="91">
        <f t="shared" si="33"/>
        <v>-52.062316237448613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Policy, Stakeholder Coordination and Knowledge Management</v>
      </c>
      <c r="D31" s="222">
        <f t="shared" si="2"/>
        <v>0</v>
      </c>
      <c r="E31" s="223">
        <f t="shared" si="2"/>
        <v>0</v>
      </c>
      <c r="F31" s="80">
        <f t="shared" si="3"/>
        <v>21</v>
      </c>
      <c r="G31" s="155">
        <f t="shared" si="4"/>
        <v>607.90476190476193</v>
      </c>
      <c r="H31" s="155">
        <f t="shared" si="5"/>
        <v>12766</v>
      </c>
      <c r="I31" s="23">
        <f t="shared" si="6"/>
        <v>-1</v>
      </c>
      <c r="J31" s="22">
        <f t="shared" si="7"/>
        <v>20</v>
      </c>
      <c r="K31" s="22">
        <f t="shared" si="8"/>
        <v>665.7282798163385</v>
      </c>
      <c r="L31" s="22">
        <f t="shared" si="9"/>
        <v>-107.03568846319786</v>
      </c>
      <c r="M31" s="22">
        <f t="shared" si="10"/>
        <v>13314.565596326769</v>
      </c>
      <c r="N31" s="22">
        <f t="shared" si="11"/>
        <v>13985</v>
      </c>
      <c r="O31" s="91">
        <f t="shared" si="12"/>
        <v>670.43440367323092</v>
      </c>
      <c r="P31" s="23">
        <f t="shared" si="13"/>
        <v>0</v>
      </c>
      <c r="Q31" s="22">
        <f t="shared" si="14"/>
        <v>20</v>
      </c>
      <c r="R31" s="22">
        <f t="shared" si="15"/>
        <v>708.15345285977651</v>
      </c>
      <c r="S31" s="22">
        <f t="shared" si="16"/>
        <v>0</v>
      </c>
      <c r="T31" s="22">
        <f t="shared" si="17"/>
        <v>14163.069057195531</v>
      </c>
      <c r="U31" s="22">
        <f t="shared" si="18"/>
        <v>15617</v>
      </c>
      <c r="V31" s="91">
        <f t="shared" si="19"/>
        <v>1453.9309428044689</v>
      </c>
      <c r="W31" s="23">
        <f t="shared" si="20"/>
        <v>0</v>
      </c>
      <c r="X31" s="22">
        <f t="shared" si="21"/>
        <v>20</v>
      </c>
      <c r="Y31" s="22">
        <f t="shared" si="22"/>
        <v>752.58972513562549</v>
      </c>
      <c r="Z31" s="22">
        <f t="shared" si="23"/>
        <v>0</v>
      </c>
      <c r="AA31" s="22">
        <f t="shared" si="24"/>
        <v>15051.79450271251</v>
      </c>
      <c r="AB31" s="22">
        <f t="shared" si="25"/>
        <v>16004</v>
      </c>
      <c r="AC31" s="91">
        <f t="shared" si="26"/>
        <v>952.20549728749029</v>
      </c>
      <c r="AD31" s="23">
        <f t="shared" si="27"/>
        <v>0</v>
      </c>
      <c r="AE31" s="22">
        <f t="shared" si="28"/>
        <v>20</v>
      </c>
      <c r="AF31" s="22">
        <f t="shared" si="29"/>
        <v>798.32580979960164</v>
      </c>
      <c r="AG31" s="22">
        <f t="shared" si="30"/>
        <v>0</v>
      </c>
      <c r="AH31" s="22">
        <f t="shared" si="31"/>
        <v>15966.516195992033</v>
      </c>
      <c r="AI31" s="22">
        <f t="shared" si="32"/>
        <v>17220.304</v>
      </c>
      <c r="AJ31" s="91">
        <f t="shared" si="33"/>
        <v>1253.7878040079668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108</v>
      </c>
      <c r="G45" s="92">
        <f>IFERROR(H45/F45,0)</f>
        <v>570.99074074074076</v>
      </c>
      <c r="H45" s="92">
        <f>SUM(H29:H38)</f>
        <v>61667</v>
      </c>
      <c r="I45" s="25">
        <f>SUM(I29:I38)</f>
        <v>-1</v>
      </c>
      <c r="J45" s="92">
        <f>SUM(J29:J38)</f>
        <v>107</v>
      </c>
      <c r="K45" s="92">
        <f>IFERROR(M45/J45,0)</f>
        <v>622.53093966436677</v>
      </c>
      <c r="L45" s="92">
        <f t="shared" ref="L45:Q45" si="34">SUM(L29:L38)</f>
        <v>1294.6631000456068</v>
      </c>
      <c r="M45" s="92">
        <f t="shared" si="34"/>
        <v>66610.810544087246</v>
      </c>
      <c r="N45" s="92">
        <f>INDEX('ENE17'!$C$2:$C$48,MATCH(Results!$D$3,'ENE17'!$A$2:$A$48,0))</f>
        <v>72613</v>
      </c>
      <c r="O45" s="129">
        <f>N45-M45</f>
        <v>6002.1894559127541</v>
      </c>
      <c r="P45" s="25">
        <f t="shared" si="34"/>
        <v>-1</v>
      </c>
      <c r="Q45" s="24">
        <f t="shared" si="34"/>
        <v>106</v>
      </c>
      <c r="R45" s="92">
        <f>IFERROR(T45/Q45,0)</f>
        <v>664.97618217318222</v>
      </c>
      <c r="S45" s="24">
        <f>SUM(S29:S38)</f>
        <v>-1046.9479356770014</v>
      </c>
      <c r="T45" s="24">
        <f>SUM(T29:T38)</f>
        <v>70487.475310357317</v>
      </c>
      <c r="U45" s="207">
        <f>INDEX('ENE17'!$D$2:$D$48,MATCH(Results!$D$3,'ENE17'!$A$2:$A$48,0))</f>
        <v>72038</v>
      </c>
      <c r="V45" s="24">
        <f>U45-T45</f>
        <v>1550.5246896426834</v>
      </c>
      <c r="W45" s="25">
        <f t="shared" ref="W45:X45" si="35">SUM(W29:W38)</f>
        <v>-2</v>
      </c>
      <c r="X45" s="24">
        <f t="shared" si="35"/>
        <v>104</v>
      </c>
      <c r="Y45" s="92">
        <f>IFERROR(AA45/X45,0)</f>
        <v>701.60999123136799</v>
      </c>
      <c r="Z45" s="24">
        <f t="shared" ref="Z45:AA45" si="36">SUM(Z29:Z38)</f>
        <v>-2662.1431052617381</v>
      </c>
      <c r="AA45" s="24">
        <f t="shared" si="36"/>
        <v>72967.439088062267</v>
      </c>
      <c r="AB45" s="207">
        <f>INDEX('ENE17'!$E$2:$E$48,MATCH(Results!$D$3,'ENE17'!$A$2:$A$48,0))</f>
        <v>73938</v>
      </c>
      <c r="AC45" s="24">
        <f>AB45-AA45</f>
        <v>970.56091193773318</v>
      </c>
      <c r="AD45" s="25">
        <f t="shared" ref="AD45:AE45" si="37">SUM(AD29:AD38)</f>
        <v>0</v>
      </c>
      <c r="AE45" s="24">
        <f t="shared" si="37"/>
        <v>104</v>
      </c>
      <c r="AF45" s="92">
        <f>IFERROR(AH45/AE45,0)</f>
        <v>751.38026702191883</v>
      </c>
      <c r="AG45" s="24">
        <f t="shared" ref="AG45:AH45" si="38">SUM(AG29:AG38)</f>
        <v>0</v>
      </c>
      <c r="AH45" s="24">
        <f t="shared" si="38"/>
        <v>78143.547770279562</v>
      </c>
      <c r="AI45" s="207">
        <f>INDEX('ENE17'!$F$2:$F$48,MATCH(Results!$D$3,'ENE17'!$A$2:$A$48,0))</f>
        <v>79575</v>
      </c>
      <c r="AJ45" s="24">
        <f>AI45-AH45</f>
        <v>1431.4522297204385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26</v>
      </c>
      <c r="G51" s="193">
        <f>IFERROR(H51/F51,"")</f>
        <v>186.23076923076923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4842</v>
      </c>
      <c r="I51" s="97">
        <f>SUMIFS($N$64:$N$509,$B$64:$B$509,$B51)-SUMIFS($O$64:$O$509,$B$64:$B$509,$B51)</f>
        <v>0</v>
      </c>
      <c r="J51" s="80">
        <f>SUMIFS($P$64:$P$509,$B$64:$B$509,$B51)</f>
        <v>26</v>
      </c>
      <c r="K51" s="80">
        <f>IFERROR(M51/J51,0)</f>
        <v>200.86730183760594</v>
      </c>
      <c r="L51" s="80">
        <f>SUMIFS($R$64:$R$509,$B$64:$B$509,$B51)+SUMIFS($Q$64:$Q$509,$B$64:$B$509,$B51)</f>
        <v>0</v>
      </c>
      <c r="M51" s="98">
        <f>SUMIFS($S$64:$S$509,$B$64:$B$509,$B51)</f>
        <v>5222.5498477777546</v>
      </c>
      <c r="N51" s="80">
        <f>SUMIFS($V$64:$V$509,$B$64:$B$509,$B51)-SUMIFS($W$64:$W$509,$B$64:$B$509,$B51)</f>
        <v>0</v>
      </c>
      <c r="O51" s="80">
        <f>SUMIFS($X$64:$X$509,$B$64:$B$509,$B51)</f>
        <v>26</v>
      </c>
      <c r="P51" s="80">
        <f>IFERROR(R51/O51,0)</f>
        <v>216.96073129299464</v>
      </c>
      <c r="Q51" s="80">
        <f>SUMIFS($Z$64:$Z$509,$B$64:$B$509,$B51)+SUMIFS($Y$64:$Y$509,$B$64:$B$509,$B51)</f>
        <v>0</v>
      </c>
      <c r="R51" s="80">
        <f>SUMIFS($AA$64:$AA$509,$B$64:$B$509,$B51)</f>
        <v>5640.9790136178608</v>
      </c>
      <c r="S51" s="97">
        <f>SUMIFS($AD$64:$AD$509,$B$64:$B$509,$B51)-SUMIFS($AE$64:$AE$509,$B$64:$B$509,$B51)</f>
        <v>0</v>
      </c>
      <c r="T51" s="80">
        <f>SUMIFS($AF$64:$AF$509,$B$64:$B$509,$B51)</f>
        <v>26</v>
      </c>
      <c r="U51" s="80">
        <f>IFERROR(W51/T51,0)</f>
        <v>234.12944661651443</v>
      </c>
      <c r="V51" s="80">
        <f>SUMIFS($AH$64:$AH$509,$B$64:$B$509,$B51)+SUMIFS($AG$64:$AG$509,$B$64:$B$509,$B51)</f>
        <v>0</v>
      </c>
      <c r="W51" s="98">
        <f>SUMIFS($AI$64:$AI$509,$B$64:$B$509,$B51)</f>
        <v>6087.3656120293754</v>
      </c>
      <c r="X51" s="80">
        <f>SUMIFS($AL$64:$AL$509,$B$64:$B$509,$B51)-SUMIFS($AM$64:$AM$509,$B$64:$B$509,$B51)</f>
        <v>0</v>
      </c>
      <c r="Y51" s="80">
        <f>SUMIFS($AN$64:$AN$509,$B$64:$B$509,$B51)</f>
        <v>26</v>
      </c>
      <c r="Z51" s="80">
        <f>IFERROR(AB51/Y51,0)</f>
        <v>252.18927457993826</v>
      </c>
      <c r="AA51" s="80">
        <f>SUMIFS($AP$64:$AP$509,$B$64:$B$509,$B51)+SUMIFS($AO$64:$AO$509,$B$64:$B$509,$B51)</f>
        <v>0</v>
      </c>
      <c r="AB51" s="98">
        <f>SUMIFS($AQ$64:$AQ$509,$B$64:$B$509,$B51)</f>
        <v>6556.9211390783948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35</v>
      </c>
      <c r="G52" s="192">
        <f t="shared" ref="G52:G55" si="40">IFERROR(H52/F52,"")</f>
        <v>330.54285714285714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11569</v>
      </c>
      <c r="I52" s="97">
        <f>SUMIFS($N$64:$N$509,$B$64:$B$509,$B52)-SUMIFS($O$64:$O$509,$B$64:$B$509,$B52)</f>
        <v>-3</v>
      </c>
      <c r="J52" s="80">
        <f>SUMIFS($P$64:$P$509,$B$64:$B$509,$B52)</f>
        <v>32</v>
      </c>
      <c r="K52" s="80">
        <f t="shared" ref="K52:K56" si="41">IFERROR(M52/J52,0)</f>
        <v>364.18224268825725</v>
      </c>
      <c r="L52" s="80">
        <f>SUMIFS($R$64:$R$509,$B$64:$B$509,$B52)+SUMIFS($Q$64:$Q$509,$B$64:$B$509,$B52)</f>
        <v>-880.29311862116447</v>
      </c>
      <c r="M52" s="98">
        <f>SUMIFS($S$64:$S$509,$B$64:$B$509,$B52)</f>
        <v>11653.831766024232</v>
      </c>
      <c r="N52" s="80">
        <f>SUMIFS($V$64:$V$509,$B$64:$B$509,$B52)-SUMIFS($W$64:$W$509,$B$64:$B$509,$B52)</f>
        <v>0</v>
      </c>
      <c r="O52" s="80">
        <f>SUMIFS($X$64:$X$509,$B$64:$B$509,$B52)</f>
        <v>32</v>
      </c>
      <c r="P52" s="80">
        <f t="shared" ref="P52:P55" si="42">IFERROR(R52/O52,0)</f>
        <v>393.34899716131656</v>
      </c>
      <c r="Q52" s="80">
        <f>SUMIFS($Z$64:$Z$509,$B$64:$B$509,$B52)+SUMIFS($Y$64:$Y$509,$B$64:$B$509,$B52)</f>
        <v>0</v>
      </c>
      <c r="R52" s="80">
        <f>SUMIFS($AA$64:$AA$509,$B$64:$B$509,$B52)</f>
        <v>12587.16790916213</v>
      </c>
      <c r="S52" s="97">
        <f>SUMIFS($AD$64:$AD$509,$B$64:$B$509,$B52)-SUMIFS($AE$64:$AE$509,$B$64:$B$509,$B52)</f>
        <v>0</v>
      </c>
      <c r="T52" s="80">
        <f>SUMIFS($AF$64:$AF$509,$B$64:$B$509,$B52)</f>
        <v>32</v>
      </c>
      <c r="U52" s="80">
        <f t="shared" ref="U52:U55" si="43">IFERROR(W52/T52,0)</f>
        <v>424.47156610670442</v>
      </c>
      <c r="V52" s="80">
        <f>SUMIFS($AH$64:$AH$509,$B$64:$B$509,$B52)+SUMIFS($AG$64:$AG$509,$B$64:$B$509,$B52)</f>
        <v>0</v>
      </c>
      <c r="W52" s="98">
        <f>SUMIFS($AI$64:$AI$509,$B$64:$B$509,$B52)</f>
        <v>13583.090115414541</v>
      </c>
      <c r="X52" s="80">
        <f>SUMIFS($AL$64:$AL$509,$B$64:$B$509,$B52)-SUMIFS($AM$64:$AM$509,$B$64:$B$509,$B52)</f>
        <v>0</v>
      </c>
      <c r="Y52" s="80">
        <f>SUMIFS($AN$64:$AN$509,$B$64:$B$509,$B52)</f>
        <v>32</v>
      </c>
      <c r="Z52" s="80">
        <f t="shared" ref="Z52:Z55" si="44">IFERROR(AB52/Y52,0)</f>
        <v>457.21782674037593</v>
      </c>
      <c r="AA52" s="80">
        <f>SUMIFS($AP$64:$AP$509,$B$64:$B$509,$B52)+SUMIFS($AO$64:$AO$509,$B$64:$B$509,$B52)</f>
        <v>0</v>
      </c>
      <c r="AB52" s="98">
        <f>SUMIFS($AQ$64:$AQ$509,$B$64:$B$509,$B52)</f>
        <v>14630.97045569203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13</v>
      </c>
      <c r="G53" s="192">
        <f t="shared" si="40"/>
        <v>629.38461538461536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8182</v>
      </c>
      <c r="I53" s="97">
        <f>SUMIFS($N$64:$N$509,$B$64:$B$509,$B53)-SUMIFS($O$64:$O$509,$B$64:$B$509,$B53)</f>
        <v>-1</v>
      </c>
      <c r="J53" s="80">
        <f>SUMIFS($P$64:$P$509,$B$64:$B$509,$B53)</f>
        <v>12</v>
      </c>
      <c r="K53" s="80">
        <f t="shared" si="41"/>
        <v>685.22333673953835</v>
      </c>
      <c r="L53" s="80">
        <f>SUMIFS($R$64:$R$509,$B$64:$B$509,$B53)+SUMIFS($Q$64:$Q$509,$B$64:$B$509,$B53)</f>
        <v>-652.4864</v>
      </c>
      <c r="M53" s="98">
        <f>SUMIFS($S$64:$S$509,$B$64:$B$509,$B53)</f>
        <v>8222.6800408744602</v>
      </c>
      <c r="N53" s="80">
        <f>SUMIFS($V$64:$V$509,$B$64:$B$509,$B53)-SUMIFS($W$64:$W$509,$B$64:$B$509,$B53)</f>
        <v>0</v>
      </c>
      <c r="O53" s="80">
        <f>SUMIFS($X$64:$X$509,$B$64:$B$509,$B53)</f>
        <v>12</v>
      </c>
      <c r="P53" s="80">
        <f t="shared" si="42"/>
        <v>739.64186077778174</v>
      </c>
      <c r="Q53" s="80">
        <f>SUMIFS($Z$64:$Z$509,$B$64:$B$509,$B53)+SUMIFS($Y$64:$Y$509,$B$64:$B$509,$B53)</f>
        <v>0</v>
      </c>
      <c r="R53" s="80">
        <f>SUMIFS($AA$64:$AA$509,$B$64:$B$509,$B53)</f>
        <v>8875.7023293333805</v>
      </c>
      <c r="S53" s="97">
        <f>SUMIFS($AD$64:$AD$509,$B$64:$B$509,$B53)-SUMIFS($AE$64:$AE$509,$B$64:$B$509,$B53)</f>
        <v>0</v>
      </c>
      <c r="T53" s="80">
        <f>SUMIFS($AF$64:$AF$509,$B$64:$B$509,$B53)</f>
        <v>12</v>
      </c>
      <c r="U53" s="80">
        <f t="shared" si="43"/>
        <v>797.67531940114202</v>
      </c>
      <c r="V53" s="80">
        <f>SUMIFS($AH$64:$AH$509,$B$64:$B$509,$B53)+SUMIFS($AG$64:$AG$509,$B$64:$B$509,$B53)</f>
        <v>0</v>
      </c>
      <c r="W53" s="98">
        <f>SUMIFS($AI$64:$AI$509,$B$64:$B$509,$B53)</f>
        <v>9572.1038328137038</v>
      </c>
      <c r="X53" s="80">
        <f>SUMIFS($AL$64:$AL$509,$B$64:$B$509,$B53)-SUMIFS($AM$64:$AM$509,$B$64:$B$509,$B53)</f>
        <v>0</v>
      </c>
      <c r="Y53" s="80">
        <f>SUMIFS($AN$64:$AN$509,$B$64:$B$509,$B53)</f>
        <v>12</v>
      </c>
      <c r="Z53" s="80">
        <f t="shared" si="44"/>
        <v>858.69489358690998</v>
      </c>
      <c r="AA53" s="80">
        <f>SUMIFS($AP$64:$AP$509,$B$64:$B$509,$B53)+SUMIFS($AO$64:$AO$509,$B$64:$B$509,$B53)</f>
        <v>0</v>
      </c>
      <c r="AB53" s="98">
        <f>SUMIFS($AQ$64:$AQ$509,$B$64:$B$509,$B53)</f>
        <v>10304.33872304292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33</v>
      </c>
      <c r="G54" s="192">
        <f t="shared" si="40"/>
        <v>1056.7878787878788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34874</v>
      </c>
      <c r="I54" s="97">
        <f>SUMIFS($N$64:$N$509,$B$64:$B$509,$B54)-SUMIFS($O$64:$O$509,$B$64:$B$509,$B54)</f>
        <v>3</v>
      </c>
      <c r="J54" s="80">
        <f>SUMIFS($P$64:$P$509,$B$64:$B$509,$B54)</f>
        <v>36</v>
      </c>
      <c r="K54" s="80">
        <f t="shared" si="41"/>
        <v>1089.9763580391889</v>
      </c>
      <c r="L54" s="80">
        <f>SUMIFS($R$64:$R$509,$B$64:$B$509,$B54)+SUMIFS($Q$64:$Q$509,$B$64:$B$509,$B54)</f>
        <v>2827.4426186667715</v>
      </c>
      <c r="M54" s="98">
        <f>SUMIFS($S$64:$S$509,$B$64:$B$509,$B54)</f>
        <v>39239.148889410797</v>
      </c>
      <c r="N54" s="80">
        <f>SUMIFS($V$64:$V$509,$B$64:$B$509,$B54)-SUMIFS($W$64:$W$509,$B$64:$B$509,$B54)</f>
        <v>-1</v>
      </c>
      <c r="O54" s="80">
        <f>SUMIFS($X$64:$X$509,$B$64:$B$509,$B54)</f>
        <v>35</v>
      </c>
      <c r="P54" s="80">
        <f t="shared" si="42"/>
        <v>1170.7048588069702</v>
      </c>
      <c r="Q54" s="80">
        <f>SUMIFS($Z$64:$Z$509,$B$64:$B$509,$B54)+SUMIFS($Y$64:$Y$509,$B$64:$B$509,$B54)</f>
        <v>-1046.9479356770014</v>
      </c>
      <c r="R54" s="80">
        <f>SUMIFS($AA$64:$AA$509,$B$64:$B$509,$B54)</f>
        <v>40974.670058243952</v>
      </c>
      <c r="S54" s="97">
        <f>SUMIFS($AD$64:$AD$509,$B$64:$B$509,$B54)-SUMIFS($AE$64:$AE$509,$B$64:$B$509,$B54)</f>
        <v>-2</v>
      </c>
      <c r="T54" s="80">
        <f>SUMIFS($AF$64:$AF$509,$B$64:$B$509,$B54)</f>
        <v>33</v>
      </c>
      <c r="U54" s="80">
        <f t="shared" si="43"/>
        <v>1247.6907613274136</v>
      </c>
      <c r="V54" s="80">
        <f>SUMIFS($AH$64:$AH$509,$B$64:$B$509,$B54)+SUMIFS($AG$64:$AG$509,$B$64:$B$509,$B54)</f>
        <v>-2662.1431052617381</v>
      </c>
      <c r="W54" s="98">
        <f>SUMIFS($AI$64:$AI$509,$B$64:$B$509,$B54)</f>
        <v>41173.795123804652</v>
      </c>
      <c r="X54" s="80">
        <f>SUMIFS($AL$64:$AL$509,$B$64:$B$509,$B54)-SUMIFS($AM$64:$AM$509,$B$64:$B$509,$B54)</f>
        <v>0</v>
      </c>
      <c r="Y54" s="80">
        <f>SUMIFS($AN$64:$AN$509,$B$64:$B$509,$B54)</f>
        <v>33</v>
      </c>
      <c r="Z54" s="80">
        <f t="shared" si="44"/>
        <v>1331.9642799223695</v>
      </c>
      <c r="AA54" s="80">
        <f>SUMIFS($AP$64:$AP$509,$B$64:$B$509,$B54)+SUMIFS($AO$64:$AO$509,$B$64:$B$509,$B54)</f>
        <v>0</v>
      </c>
      <c r="AB54" s="98">
        <f>SUMIFS($AQ$64:$AQ$509,$B$64:$B$509,$B54)</f>
        <v>43954.821237438198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1</v>
      </c>
      <c r="G55" s="192">
        <f t="shared" si="40"/>
        <v>2200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2200</v>
      </c>
      <c r="I55" s="101">
        <f>SUMIFS($N$64:$N$509,$B$64:$B$509,$B55)-SUMIFS($O$64:$O$509,$B$64:$B$509,$B55)</f>
        <v>0</v>
      </c>
      <c r="J55" s="102">
        <f>SUMIFS($P$64:$P$509,$B$64:$B$509,$B55)</f>
        <v>1</v>
      </c>
      <c r="K55" s="102">
        <f t="shared" si="41"/>
        <v>2272.6</v>
      </c>
      <c r="L55" s="102">
        <f>SUMIFS($R$64:$R$509,$B$64:$B$509,$B55)+SUMIFS($Q$64:$Q$509,$B$64:$B$509,$B55)</f>
        <v>0</v>
      </c>
      <c r="M55" s="103">
        <f>SUMIFS($S$64:$S$509,$B$64:$B$509,$B55)</f>
        <v>2272.6</v>
      </c>
      <c r="N55" s="80">
        <f>SUMIFS($V$64:$V$509,$B$64:$B$509,$B55)-SUMIFS($W$64:$W$509,$B$64:$B$509,$B55)</f>
        <v>0</v>
      </c>
      <c r="O55" s="80">
        <f>SUMIFS($X$64:$X$509,$B$64:$B$509,$B55)</f>
        <v>1</v>
      </c>
      <c r="P55" s="80">
        <f t="shared" si="42"/>
        <v>2408.9560000000001</v>
      </c>
      <c r="Q55" s="80">
        <f>SUMIFS($Z$64:$Z$509,$B$64:$B$509,$B55)+SUMIFS($Y$64:$Y$509,$B$64:$B$509,$B55)</f>
        <v>0</v>
      </c>
      <c r="R55" s="80">
        <f>SUMIFS($AA$64:$AA$509,$B$64:$B$509,$B55)</f>
        <v>2408.9560000000001</v>
      </c>
      <c r="S55" s="101">
        <f>SUMIFS($AD$64:$AD$509,$B$64:$B$509,$B55)-SUMIFS($AE$64:$AE$509,$B$64:$B$509,$B55)</f>
        <v>0</v>
      </c>
      <c r="T55" s="102">
        <f>SUMIFS($AF$64:$AF$509,$B$64:$B$509,$B55)</f>
        <v>1</v>
      </c>
      <c r="U55" s="102">
        <f t="shared" si="43"/>
        <v>2551.0844040000002</v>
      </c>
      <c r="V55" s="102">
        <f>SUMIFS($AH$64:$AH$509,$B$64:$B$509,$B55)+SUMIFS($AG$64:$AG$509,$B$64:$B$509,$B55)</f>
        <v>0</v>
      </c>
      <c r="W55" s="103">
        <f>SUMIFS($AI$64:$AI$509,$B$64:$B$509,$B55)</f>
        <v>2551.0844040000002</v>
      </c>
      <c r="X55" s="80">
        <f>SUMIFS($AL$64:$AL$509,$B$64:$B$509,$B55)-SUMIFS($AM$64:$AM$509,$B$64:$B$509,$B55)</f>
        <v>0</v>
      </c>
      <c r="Y55" s="80">
        <f>SUMIFS($AN$64:$AN$509,$B$64:$B$509,$B55)</f>
        <v>1</v>
      </c>
      <c r="Z55" s="80">
        <f t="shared" si="44"/>
        <v>2696.4962150279998</v>
      </c>
      <c r="AA55" s="80">
        <f>SUMIFS($AP$64:$AP$509,$B$64:$B$509,$B55)+SUMIFS($AO$64:$AO$509,$B$64:$B$509,$B55)</f>
        <v>0</v>
      </c>
      <c r="AB55" s="98">
        <f>SUMIFS($AQ$64:$AQ$509,$B$64:$B$509,$B55)</f>
        <v>2696.4962150279998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108</v>
      </c>
      <c r="G56" s="92">
        <f t="shared" ref="G56" si="45">IFERROR(H56/F56,0)</f>
        <v>570.99074074074076</v>
      </c>
      <c r="H56" s="92">
        <f>SUM(H51:H55)</f>
        <v>61667</v>
      </c>
      <c r="I56" s="92">
        <f>SUM(I51:I55)</f>
        <v>-1</v>
      </c>
      <c r="J56" s="92">
        <f>SUM(J51:J55)</f>
        <v>107</v>
      </c>
      <c r="K56" s="92">
        <f t="shared" si="41"/>
        <v>622.53093966436677</v>
      </c>
      <c r="L56" s="92">
        <f>SUM(L51:L55)</f>
        <v>1294.6631000456071</v>
      </c>
      <c r="M56" s="92">
        <f>SUM(M51:M55)</f>
        <v>66610.810544087246</v>
      </c>
      <c r="N56" s="92">
        <f t="shared" ref="N56:O56" si="46">SUM(N51:N55)</f>
        <v>-1</v>
      </c>
      <c r="O56" s="92">
        <f t="shared" si="46"/>
        <v>106</v>
      </c>
      <c r="P56" s="92">
        <f>IFERROR(R56/O56,0)</f>
        <v>664.97618217318234</v>
      </c>
      <c r="Q56" s="92">
        <f t="shared" ref="Q56" si="47">SUM(Q51:Q55)</f>
        <v>-1046.9479356770014</v>
      </c>
      <c r="R56" s="92">
        <f t="shared" ref="R56:T56" si="48">SUM(R51:R55)</f>
        <v>70487.475310357331</v>
      </c>
      <c r="S56" s="92">
        <f t="shared" si="48"/>
        <v>-2</v>
      </c>
      <c r="T56" s="92">
        <f t="shared" si="48"/>
        <v>104</v>
      </c>
      <c r="U56" s="92">
        <f>IFERROR(W56/T56,0)</f>
        <v>701.60999123136799</v>
      </c>
      <c r="V56" s="92">
        <f t="shared" ref="V56" si="49">SUM(V51:V55)</f>
        <v>-2662.1431052617381</v>
      </c>
      <c r="W56" s="92">
        <f t="shared" ref="W56:Y56" si="50">SUM(W51:W55)</f>
        <v>72967.439088062267</v>
      </c>
      <c r="X56" s="92">
        <f t="shared" si="50"/>
        <v>0</v>
      </c>
      <c r="Y56" s="92">
        <f t="shared" si="50"/>
        <v>104</v>
      </c>
      <c r="Z56" s="92">
        <f>IFERROR(AB56/Y56,0)</f>
        <v>751.38026702191871</v>
      </c>
      <c r="AA56" s="92">
        <f t="shared" ref="AA56" si="51">SUM(AA51:AA55)</f>
        <v>0</v>
      </c>
      <c r="AB56" s="104">
        <f t="shared" ref="AB56" si="52">SUM(AB51:AB55)</f>
        <v>78143.547770279547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6</v>
      </c>
      <c r="G65" s="35">
        <f>SUMIFS(WORKING!$AC$3:$AC$6802,WORKING!$A$3:$A$6802,Results!$D$3,WORKING!$B$3:$B$6802,Results!A65,WORKING!$C$3:$C$6802,Results!C65)/1000</f>
        <v>61.548480000000005</v>
      </c>
      <c r="H65" s="35">
        <f t="shared" ref="H65:H80" si="60">IFERROR(G65/F65,0)</f>
        <v>10.258080000000001</v>
      </c>
      <c r="I65" s="187">
        <v>6</v>
      </c>
      <c r="J65" s="212">
        <v>641</v>
      </c>
      <c r="K65" s="217">
        <f t="shared" ref="K65:K80" si="61">IFERROR(IF(J65="",G65,J65)/IF(I65="",F65,I65),"")</f>
        <v>106.83333333333333</v>
      </c>
      <c r="L65" s="34">
        <f t="shared" si="54"/>
        <v>6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115.15008199542623</v>
      </c>
      <c r="N65" s="57">
        <v>0</v>
      </c>
      <c r="O65" s="57">
        <v>0</v>
      </c>
      <c r="P65" s="61">
        <f t="shared" si="55"/>
        <v>6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690.90049197255735</v>
      </c>
      <c r="T65" s="35">
        <f t="shared" ref="T65:T80" si="65">P65</f>
        <v>6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124.59048767179729</v>
      </c>
      <c r="V65" s="57">
        <v>0</v>
      </c>
      <c r="W65" s="57">
        <v>0</v>
      </c>
      <c r="X65" s="61">
        <f t="shared" si="56"/>
        <v>6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747.54292603078375</v>
      </c>
      <c r="AB65" s="35">
        <f t="shared" ref="AB65:AB80" si="69">X65</f>
        <v>6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134.67889572143434</v>
      </c>
      <c r="AD65" s="57">
        <v>0</v>
      </c>
      <c r="AE65" s="57">
        <v>0</v>
      </c>
      <c r="AF65" s="61">
        <f t="shared" si="57"/>
        <v>6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808.07337432860606</v>
      </c>
      <c r="AJ65" s="35">
        <f t="shared" si="58"/>
        <v>6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145.31187990578374</v>
      </c>
      <c r="AL65" s="57">
        <v>0</v>
      </c>
      <c r="AM65" s="57">
        <v>0</v>
      </c>
      <c r="AN65" s="61">
        <f t="shared" si="59"/>
        <v>6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871.8712794347025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13</v>
      </c>
      <c r="G68" s="35">
        <f>SUMIFS(WORKING!$AC$3:$AC$6802,WORKING!$A$3:$A$6802,Results!$D$3,WORKING!$B$3:$B$6802,Results!A68,WORKING!$C$3:$C$6802,Results!C68)/1000</f>
        <v>232.18549999999999</v>
      </c>
      <c r="H68" s="35">
        <f t="shared" si="60"/>
        <v>17.860423076923077</v>
      </c>
      <c r="I68" s="187">
        <v>8</v>
      </c>
      <c r="J68" s="212">
        <v>1458</v>
      </c>
      <c r="K68" s="217">
        <f t="shared" si="61"/>
        <v>182.25</v>
      </c>
      <c r="L68" s="34">
        <f t="shared" si="54"/>
        <v>8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197.18498638904697</v>
      </c>
      <c r="N68" s="57">
        <v>0</v>
      </c>
      <c r="O68" s="57">
        <v>0</v>
      </c>
      <c r="P68" s="61">
        <f t="shared" si="55"/>
        <v>8</v>
      </c>
      <c r="Q68" s="40">
        <f t="shared" si="62"/>
        <v>0</v>
      </c>
      <c r="R68" s="40">
        <f t="shared" si="63"/>
        <v>0</v>
      </c>
      <c r="S68" s="44">
        <f t="shared" si="64"/>
        <v>1577.4798911123758</v>
      </c>
      <c r="T68" s="35">
        <f t="shared" si="65"/>
        <v>8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213.58445518545986</v>
      </c>
      <c r="V68" s="57">
        <v>0</v>
      </c>
      <c r="W68" s="57">
        <v>0</v>
      </c>
      <c r="X68" s="61">
        <f t="shared" si="56"/>
        <v>8</v>
      </c>
      <c r="Y68" s="40">
        <f t="shared" si="66"/>
        <v>0</v>
      </c>
      <c r="Z68" s="40">
        <f t="shared" si="67"/>
        <v>0</v>
      </c>
      <c r="AA68" s="44">
        <f t="shared" si="68"/>
        <v>1708.6756414836789</v>
      </c>
      <c r="AB68" s="35">
        <f t="shared" si="69"/>
        <v>8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231.13152764202763</v>
      </c>
      <c r="AD68" s="57">
        <v>0</v>
      </c>
      <c r="AE68" s="57">
        <v>0</v>
      </c>
      <c r="AF68" s="61">
        <f t="shared" si="57"/>
        <v>8</v>
      </c>
      <c r="AG68" s="40">
        <f t="shared" si="70"/>
        <v>0</v>
      </c>
      <c r="AH68" s="40">
        <f t="shared" si="71"/>
        <v>0</v>
      </c>
      <c r="AI68" s="44">
        <f t="shared" si="72"/>
        <v>1849.0522211362211</v>
      </c>
      <c r="AJ68" s="35">
        <f t="shared" si="58"/>
        <v>8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249.65202916837049</v>
      </c>
      <c r="AL68" s="57">
        <v>0</v>
      </c>
      <c r="AM68" s="57">
        <v>0</v>
      </c>
      <c r="AN68" s="61">
        <f t="shared" si="59"/>
        <v>8</v>
      </c>
      <c r="AO68" s="40">
        <f t="shared" si="73"/>
        <v>0</v>
      </c>
      <c r="AP68" s="40">
        <f t="shared" si="74"/>
        <v>0</v>
      </c>
      <c r="AQ68" s="44">
        <f t="shared" si="75"/>
        <v>1997.2162333469639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13</v>
      </c>
      <c r="G69" s="35">
        <f>SUMIFS(WORKING!$AC$3:$AC$6802,WORKING!$A$3:$A$6802,Results!$D$3,WORKING!$B$3:$B$6802,Results!A69,WORKING!$C$3:$C$6802,Results!C69)/1000</f>
        <v>309.62660999999997</v>
      </c>
      <c r="H69" s="35">
        <f t="shared" si="60"/>
        <v>23.817431538461538</v>
      </c>
      <c r="I69" s="187">
        <v>8</v>
      </c>
      <c r="J69" s="212">
        <v>1803</v>
      </c>
      <c r="K69" s="217">
        <f t="shared" si="61"/>
        <v>225.375</v>
      </c>
      <c r="L69" s="34">
        <f t="shared" si="54"/>
        <v>8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243.09643015540811</v>
      </c>
      <c r="N69" s="57">
        <v>0</v>
      </c>
      <c r="O69" s="57">
        <v>0</v>
      </c>
      <c r="P69" s="61">
        <f t="shared" si="55"/>
        <v>8</v>
      </c>
      <c r="Q69" s="40">
        <f t="shared" si="62"/>
        <v>0</v>
      </c>
      <c r="R69" s="40">
        <f t="shared" si="63"/>
        <v>0</v>
      </c>
      <c r="S69" s="44">
        <f t="shared" si="64"/>
        <v>1944.7714412432649</v>
      </c>
      <c r="T69" s="35">
        <f t="shared" si="65"/>
        <v>8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263.08389131978902</v>
      </c>
      <c r="V69" s="57">
        <v>0</v>
      </c>
      <c r="W69" s="57">
        <v>0</v>
      </c>
      <c r="X69" s="61">
        <f t="shared" si="56"/>
        <v>8</v>
      </c>
      <c r="Y69" s="40">
        <f t="shared" si="66"/>
        <v>0</v>
      </c>
      <c r="Z69" s="40">
        <f t="shared" si="67"/>
        <v>0</v>
      </c>
      <c r="AA69" s="44">
        <f t="shared" si="68"/>
        <v>2104.6711305583121</v>
      </c>
      <c r="AB69" s="35">
        <f t="shared" si="69"/>
        <v>8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284.44859581922697</v>
      </c>
      <c r="AD69" s="57">
        <v>0</v>
      </c>
      <c r="AE69" s="57">
        <v>0</v>
      </c>
      <c r="AF69" s="61">
        <f t="shared" si="57"/>
        <v>8</v>
      </c>
      <c r="AG69" s="40">
        <f t="shared" si="70"/>
        <v>0</v>
      </c>
      <c r="AH69" s="40">
        <f t="shared" si="71"/>
        <v>0</v>
      </c>
      <c r="AI69" s="44">
        <f t="shared" si="72"/>
        <v>2275.5887665538157</v>
      </c>
      <c r="AJ69" s="35">
        <f t="shared" si="58"/>
        <v>8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306.97281267633662</v>
      </c>
      <c r="AL69" s="57">
        <v>0</v>
      </c>
      <c r="AM69" s="57">
        <v>0</v>
      </c>
      <c r="AN69" s="61">
        <f t="shared" si="59"/>
        <v>8</v>
      </c>
      <c r="AO69" s="40">
        <f t="shared" si="73"/>
        <v>0</v>
      </c>
      <c r="AP69" s="40">
        <f t="shared" si="74"/>
        <v>0</v>
      </c>
      <c r="AQ69" s="44">
        <f t="shared" si="75"/>
        <v>2455.7825014106929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13</v>
      </c>
      <c r="G70" s="35">
        <f>SUMIFS(WORKING!$AC$3:$AC$6802,WORKING!$A$3:$A$6802,Results!$D$3,WORKING!$B$3:$B$6802,Results!A70,WORKING!$C$3:$C$6802,Results!C70)/1000</f>
        <v>564.93328000000008</v>
      </c>
      <c r="H70" s="35">
        <f t="shared" si="60"/>
        <v>43.45640615384616</v>
      </c>
      <c r="I70" s="187">
        <v>9</v>
      </c>
      <c r="J70" s="212">
        <v>2456</v>
      </c>
      <c r="K70" s="217">
        <f t="shared" si="61"/>
        <v>272.88888888888891</v>
      </c>
      <c r="L70" s="34">
        <f t="shared" si="54"/>
        <v>9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296.83149387470411</v>
      </c>
      <c r="N70" s="57">
        <v>0</v>
      </c>
      <c r="O70" s="57">
        <v>3</v>
      </c>
      <c r="P70" s="61">
        <f t="shared" si="55"/>
        <v>6</v>
      </c>
      <c r="Q70" s="40">
        <f t="shared" si="62"/>
        <v>0</v>
      </c>
      <c r="R70" s="40">
        <f t="shared" si="63"/>
        <v>-890.49448162411227</v>
      </c>
      <c r="S70" s="44">
        <f t="shared" si="64"/>
        <v>1780.9889632482245</v>
      </c>
      <c r="T70" s="35">
        <f t="shared" si="65"/>
        <v>6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322.00415836986559</v>
      </c>
      <c r="V70" s="57">
        <v>0</v>
      </c>
      <c r="W70" s="57">
        <v>0</v>
      </c>
      <c r="X70" s="61">
        <f t="shared" si="56"/>
        <v>6</v>
      </c>
      <c r="Y70" s="40">
        <f t="shared" si="66"/>
        <v>0</v>
      </c>
      <c r="Z70" s="40">
        <f t="shared" si="67"/>
        <v>0</v>
      </c>
      <c r="AA70" s="44">
        <f t="shared" si="68"/>
        <v>1932.0249502191937</v>
      </c>
      <c r="AB70" s="35">
        <f t="shared" si="69"/>
        <v>6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348.98508332974239</v>
      </c>
      <c r="AD70" s="57">
        <v>0</v>
      </c>
      <c r="AE70" s="57">
        <v>0</v>
      </c>
      <c r="AF70" s="61">
        <f t="shared" si="57"/>
        <v>6</v>
      </c>
      <c r="AG70" s="40">
        <f t="shared" si="70"/>
        <v>0</v>
      </c>
      <c r="AH70" s="40">
        <f t="shared" si="71"/>
        <v>0</v>
      </c>
      <c r="AI70" s="44">
        <f t="shared" si="72"/>
        <v>2093.9104999784545</v>
      </c>
      <c r="AJ70" s="35">
        <f t="shared" si="58"/>
        <v>6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377.51904922361655</v>
      </c>
      <c r="AL70" s="57">
        <v>0</v>
      </c>
      <c r="AM70" s="57">
        <v>0</v>
      </c>
      <c r="AN70" s="61">
        <f t="shared" si="59"/>
        <v>6</v>
      </c>
      <c r="AO70" s="40">
        <f t="shared" si="73"/>
        <v>0</v>
      </c>
      <c r="AP70" s="40">
        <f t="shared" si="74"/>
        <v>0</v>
      </c>
      <c r="AQ70" s="44">
        <f t="shared" si="75"/>
        <v>2265.1142953416993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7</v>
      </c>
      <c r="G71" s="35">
        <f>SUMIFS(WORKING!$AC$3:$AC$6802,WORKING!$A$3:$A$6802,Results!$D$3,WORKING!$B$3:$B$6802,Results!A71,WORKING!$C$3:$C$6802,Results!C71)/1000</f>
        <v>200.64338999999998</v>
      </c>
      <c r="H71" s="35">
        <f>IFERROR(G71/F71,0)</f>
        <v>28.663341428571425</v>
      </c>
      <c r="I71" s="187">
        <v>8</v>
      </c>
      <c r="J71" s="212">
        <v>2696</v>
      </c>
      <c r="K71" s="217">
        <f t="shared" si="61"/>
        <v>337</v>
      </c>
      <c r="L71" s="34">
        <f t="shared" si="54"/>
        <v>8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365.76968688145632</v>
      </c>
      <c r="N71" s="57">
        <v>0</v>
      </c>
      <c r="O71" s="57">
        <v>0</v>
      </c>
      <c r="P71" s="61">
        <f t="shared" si="55"/>
        <v>8</v>
      </c>
      <c r="Q71" s="40">
        <f t="shared" si="62"/>
        <v>0</v>
      </c>
      <c r="R71" s="40">
        <f t="shared" si="63"/>
        <v>0</v>
      </c>
      <c r="S71" s="44">
        <f t="shared" si="64"/>
        <v>2926.1574950516506</v>
      </c>
      <c r="T71" s="35">
        <f t="shared" si="65"/>
        <v>8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396.5426852093571</v>
      </c>
      <c r="V71" s="57">
        <v>0</v>
      </c>
      <c r="W71" s="57">
        <v>0</v>
      </c>
      <c r="X71" s="61">
        <f t="shared" si="56"/>
        <v>8</v>
      </c>
      <c r="Y71" s="40">
        <f t="shared" si="66"/>
        <v>0</v>
      </c>
      <c r="Z71" s="40">
        <f t="shared" si="67"/>
        <v>0</v>
      </c>
      <c r="AA71" s="44">
        <f t="shared" si="68"/>
        <v>3172.3414816748568</v>
      </c>
      <c r="AB71" s="35">
        <f t="shared" si="69"/>
        <v>8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429.50286781802305</v>
      </c>
      <c r="AD71" s="57">
        <v>0</v>
      </c>
      <c r="AE71" s="57">
        <v>0</v>
      </c>
      <c r="AF71" s="61">
        <f t="shared" si="57"/>
        <v>8</v>
      </c>
      <c r="AG71" s="40">
        <f t="shared" si="70"/>
        <v>0</v>
      </c>
      <c r="AH71" s="40">
        <f t="shared" si="71"/>
        <v>0</v>
      </c>
      <c r="AI71" s="44">
        <f t="shared" si="72"/>
        <v>3436.0229425441844</v>
      </c>
      <c r="AJ71" s="35">
        <f t="shared" si="58"/>
        <v>8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464.33223714085369</v>
      </c>
      <c r="AL71" s="57">
        <v>0</v>
      </c>
      <c r="AM71" s="57">
        <v>0</v>
      </c>
      <c r="AN71" s="61">
        <f t="shared" si="59"/>
        <v>8</v>
      </c>
      <c r="AO71" s="40">
        <f t="shared" si="73"/>
        <v>0</v>
      </c>
      <c r="AP71" s="40">
        <f t="shared" si="74"/>
        <v>0</v>
      </c>
      <c r="AQ71" s="44">
        <f t="shared" si="75"/>
        <v>3714.6578971268295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8</v>
      </c>
      <c r="G72" s="35">
        <f>SUMIFS(WORKING!$AC$3:$AC$6802,WORKING!$A$3:$A$6802,Results!$D$3,WORKING!$B$3:$B$6802,Results!A72,WORKING!$C$3:$C$6802,Results!C72)/1000</f>
        <v>294.29500999999999</v>
      </c>
      <c r="H72" s="35">
        <f t="shared" si="60"/>
        <v>36.786876249999999</v>
      </c>
      <c r="I72" s="187">
        <v>5</v>
      </c>
      <c r="J72" s="212">
        <v>2029</v>
      </c>
      <c r="K72" s="217">
        <f>IFERROR(IF(J72="",G72,J72)/IF(I72="",F72,I72),"")</f>
        <v>405.8</v>
      </c>
      <c r="L72" s="34">
        <f t="shared" si="54"/>
        <v>5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442.08138716123966</v>
      </c>
      <c r="N72" s="57">
        <v>0</v>
      </c>
      <c r="O72" s="57">
        <v>0</v>
      </c>
      <c r="P72" s="61">
        <f t="shared" si="55"/>
        <v>5</v>
      </c>
      <c r="Q72" s="40">
        <f t="shared" si="62"/>
        <v>0</v>
      </c>
      <c r="R72" s="40">
        <f t="shared" si="63"/>
        <v>0</v>
      </c>
      <c r="S72" s="44">
        <f t="shared" si="64"/>
        <v>2210.4069358061984</v>
      </c>
      <c r="T72" s="35">
        <f t="shared" si="65"/>
        <v>5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479.77752115803617</v>
      </c>
      <c r="V72" s="57">
        <v>0</v>
      </c>
      <c r="W72" s="57">
        <v>0</v>
      </c>
      <c r="X72" s="61">
        <f t="shared" si="56"/>
        <v>5</v>
      </c>
      <c r="Y72" s="40">
        <f t="shared" si="66"/>
        <v>0</v>
      </c>
      <c r="Z72" s="40">
        <f t="shared" si="67"/>
        <v>0</v>
      </c>
      <c r="AA72" s="44">
        <f t="shared" si="68"/>
        <v>2398.8876057901807</v>
      </c>
      <c r="AB72" s="35">
        <f t="shared" si="69"/>
        <v>5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520.20148366629326</v>
      </c>
      <c r="AD72" s="57">
        <v>0</v>
      </c>
      <c r="AE72" s="57">
        <v>0</v>
      </c>
      <c r="AF72" s="61">
        <f t="shared" si="57"/>
        <v>5</v>
      </c>
      <c r="AG72" s="40">
        <f t="shared" si="70"/>
        <v>0</v>
      </c>
      <c r="AH72" s="40">
        <f t="shared" si="71"/>
        <v>0</v>
      </c>
      <c r="AI72" s="44">
        <f t="shared" si="72"/>
        <v>2601.0074183314664</v>
      </c>
      <c r="AJ72" s="35">
        <f t="shared" si="58"/>
        <v>5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562.97639409851433</v>
      </c>
      <c r="AL72" s="57">
        <v>0</v>
      </c>
      <c r="AM72" s="57">
        <v>0</v>
      </c>
      <c r="AN72" s="61">
        <f t="shared" si="59"/>
        <v>5</v>
      </c>
      <c r="AO72" s="40">
        <f t="shared" si="73"/>
        <v>0</v>
      </c>
      <c r="AP72" s="40">
        <f t="shared" si="74"/>
        <v>0</v>
      </c>
      <c r="AQ72" s="44">
        <f t="shared" si="75"/>
        <v>2814.8819704925718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</v>
      </c>
      <c r="G73" s="35">
        <f>SUMIFS(WORKING!$AC$3:$AC$6802,WORKING!$A$3:$A$6802,Results!$D$3,WORKING!$B$3:$B$6802,Results!A73,WORKING!$C$3:$C$6802,Results!C73)/1000</f>
        <v>116.11074000000001</v>
      </c>
      <c r="H73" s="35">
        <f t="shared" si="60"/>
        <v>58.055370000000003</v>
      </c>
      <c r="I73" s="187">
        <v>2</v>
      </c>
      <c r="J73" s="212">
        <v>984</v>
      </c>
      <c r="K73" s="217">
        <f t="shared" si="61"/>
        <v>492</v>
      </c>
      <c r="L73" s="34">
        <f t="shared" si="54"/>
        <v>2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535.3837854031965</v>
      </c>
      <c r="N73" s="57">
        <v>0</v>
      </c>
      <c r="O73" s="57">
        <v>0</v>
      </c>
      <c r="P73" s="61">
        <f t="shared" si="55"/>
        <v>2</v>
      </c>
      <c r="Q73" s="40">
        <f t="shared" si="62"/>
        <v>0</v>
      </c>
      <c r="R73" s="40">
        <f t="shared" si="63"/>
        <v>0</v>
      </c>
      <c r="S73" s="44">
        <f t="shared" si="64"/>
        <v>1070.767570806393</v>
      </c>
      <c r="T73" s="35">
        <f t="shared" si="65"/>
        <v>2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580.84795775323005</v>
      </c>
      <c r="V73" s="57">
        <v>0</v>
      </c>
      <c r="W73" s="57">
        <v>0</v>
      </c>
      <c r="X73" s="61">
        <f t="shared" si="56"/>
        <v>2</v>
      </c>
      <c r="Y73" s="40">
        <f t="shared" si="66"/>
        <v>0</v>
      </c>
      <c r="Z73" s="40">
        <f t="shared" si="67"/>
        <v>0</v>
      </c>
      <c r="AA73" s="44">
        <f t="shared" si="68"/>
        <v>1161.6959155064601</v>
      </c>
      <c r="AB73" s="35">
        <f t="shared" si="69"/>
        <v>2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629.58417945487963</v>
      </c>
      <c r="AD73" s="57">
        <v>0</v>
      </c>
      <c r="AE73" s="57">
        <v>0</v>
      </c>
      <c r="AF73" s="61">
        <f t="shared" si="57"/>
        <v>2</v>
      </c>
      <c r="AG73" s="40">
        <f t="shared" si="70"/>
        <v>0</v>
      </c>
      <c r="AH73" s="40">
        <f t="shared" si="71"/>
        <v>0</v>
      </c>
      <c r="AI73" s="44">
        <f t="shared" si="72"/>
        <v>1259.1683589097593</v>
      </c>
      <c r="AJ73" s="35">
        <f t="shared" si="58"/>
        <v>2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681.13340445137885</v>
      </c>
      <c r="AL73" s="57">
        <v>0</v>
      </c>
      <c r="AM73" s="57">
        <v>0</v>
      </c>
      <c r="AN73" s="61">
        <f t="shared" si="59"/>
        <v>2</v>
      </c>
      <c r="AO73" s="40">
        <f t="shared" si="73"/>
        <v>0</v>
      </c>
      <c r="AP73" s="40">
        <f t="shared" si="74"/>
        <v>0</v>
      </c>
      <c r="AQ73" s="44">
        <f t="shared" si="75"/>
        <v>1362.2668089027577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10</v>
      </c>
      <c r="G74" s="35">
        <f>SUMIFS(WORKING!$AC$3:$AC$6802,WORKING!$A$3:$A$6802,Results!$D$3,WORKING!$B$3:$B$6802,Results!A74,WORKING!$C$3:$C$6802,Results!C74)/1000</f>
        <v>510.55356999999998</v>
      </c>
      <c r="H74" s="35">
        <f t="shared" si="60"/>
        <v>51.055357000000001</v>
      </c>
      <c r="I74" s="187">
        <v>4</v>
      </c>
      <c r="J74" s="212">
        <v>2440</v>
      </c>
      <c r="K74" s="217">
        <f t="shared" si="61"/>
        <v>610</v>
      </c>
      <c r="L74" s="34">
        <f t="shared" si="54"/>
        <v>4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665.93576847745487</v>
      </c>
      <c r="N74" s="57">
        <v>0</v>
      </c>
      <c r="O74" s="57">
        <v>0</v>
      </c>
      <c r="P74" s="61">
        <f t="shared" si="55"/>
        <v>4</v>
      </c>
      <c r="Q74" s="40">
        <f t="shared" si="62"/>
        <v>0</v>
      </c>
      <c r="R74" s="40">
        <f t="shared" si="63"/>
        <v>0</v>
      </c>
      <c r="S74" s="44">
        <f t="shared" si="64"/>
        <v>2663.7430739098195</v>
      </c>
      <c r="T74" s="35">
        <f t="shared" si="65"/>
        <v>4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722.94682655752092</v>
      </c>
      <c r="V74" s="57">
        <v>0</v>
      </c>
      <c r="W74" s="57">
        <v>0</v>
      </c>
      <c r="X74" s="61">
        <f t="shared" si="56"/>
        <v>4</v>
      </c>
      <c r="Y74" s="40">
        <f t="shared" si="66"/>
        <v>0</v>
      </c>
      <c r="Z74" s="40">
        <f t="shared" si="67"/>
        <v>0</v>
      </c>
      <c r="AA74" s="44">
        <f t="shared" si="68"/>
        <v>2891.7873062300837</v>
      </c>
      <c r="AB74" s="35">
        <f t="shared" si="69"/>
        <v>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784.10513269736487</v>
      </c>
      <c r="AD74" s="57">
        <v>0</v>
      </c>
      <c r="AE74" s="57">
        <v>0</v>
      </c>
      <c r="AF74" s="61">
        <f t="shared" si="57"/>
        <v>4</v>
      </c>
      <c r="AG74" s="40">
        <f t="shared" si="70"/>
        <v>0</v>
      </c>
      <c r="AH74" s="40">
        <f t="shared" si="71"/>
        <v>0</v>
      </c>
      <c r="AI74" s="44">
        <f t="shared" si="72"/>
        <v>3136.4205307894595</v>
      </c>
      <c r="AJ74" s="35">
        <f t="shared" si="58"/>
        <v>4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848.84608893793347</v>
      </c>
      <c r="AL74" s="57">
        <v>0</v>
      </c>
      <c r="AM74" s="57">
        <v>0</v>
      </c>
      <c r="AN74" s="61">
        <f t="shared" si="59"/>
        <v>4</v>
      </c>
      <c r="AO74" s="40">
        <f t="shared" si="73"/>
        <v>0</v>
      </c>
      <c r="AP74" s="40">
        <f t="shared" si="74"/>
        <v>0</v>
      </c>
      <c r="AQ74" s="44">
        <f t="shared" si="75"/>
        <v>3395.3843557517339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3</v>
      </c>
      <c r="G75" s="35">
        <f>SUMIFS(WORKING!$AC$3:$AC$6802,WORKING!$A$3:$A$6802,Results!$D$3,WORKING!$B$3:$B$6802,Results!A75,WORKING!$C$3:$C$6802,Results!C75)/1000</f>
        <v>161.27161999999998</v>
      </c>
      <c r="H75" s="35">
        <f t="shared" si="60"/>
        <v>53.757206666666661</v>
      </c>
      <c r="I75" s="187">
        <v>3</v>
      </c>
      <c r="J75" s="212">
        <v>2132</v>
      </c>
      <c r="K75" s="217">
        <f t="shared" si="61"/>
        <v>710.66666666666663</v>
      </c>
      <c r="L75" s="34">
        <f t="shared" si="54"/>
        <v>3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775.68778898821415</v>
      </c>
      <c r="N75" s="57">
        <v>0</v>
      </c>
      <c r="O75" s="57">
        <v>0</v>
      </c>
      <c r="P75" s="61">
        <f t="shared" si="55"/>
        <v>3</v>
      </c>
      <c r="Q75" s="40">
        <f t="shared" si="62"/>
        <v>0</v>
      </c>
      <c r="R75" s="40">
        <f t="shared" si="63"/>
        <v>0</v>
      </c>
      <c r="S75" s="44">
        <f t="shared" si="64"/>
        <v>2327.0633669646422</v>
      </c>
      <c r="T75" s="35">
        <f t="shared" si="65"/>
        <v>3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841.93675703443193</v>
      </c>
      <c r="V75" s="57">
        <v>0</v>
      </c>
      <c r="W75" s="57">
        <v>0</v>
      </c>
      <c r="X75" s="61">
        <f t="shared" si="56"/>
        <v>3</v>
      </c>
      <c r="Y75" s="40">
        <f t="shared" si="66"/>
        <v>0</v>
      </c>
      <c r="Z75" s="40">
        <f t="shared" si="67"/>
        <v>0</v>
      </c>
      <c r="AA75" s="44">
        <f t="shared" si="68"/>
        <v>2525.8102711032957</v>
      </c>
      <c r="AB75" s="35">
        <f t="shared" si="69"/>
        <v>3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912.98977404541449</v>
      </c>
      <c r="AD75" s="57">
        <v>0</v>
      </c>
      <c r="AE75" s="57">
        <v>0</v>
      </c>
      <c r="AF75" s="61">
        <f t="shared" si="57"/>
        <v>3</v>
      </c>
      <c r="AG75" s="40">
        <f t="shared" si="70"/>
        <v>0</v>
      </c>
      <c r="AH75" s="40">
        <f t="shared" si="71"/>
        <v>0</v>
      </c>
      <c r="AI75" s="44">
        <f t="shared" si="72"/>
        <v>2738.9693221362436</v>
      </c>
      <c r="AJ75" s="35">
        <f t="shared" si="58"/>
        <v>3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988.18685025023012</v>
      </c>
      <c r="AL75" s="57">
        <v>0</v>
      </c>
      <c r="AM75" s="57">
        <v>0</v>
      </c>
      <c r="AN75" s="61">
        <f t="shared" si="59"/>
        <v>3</v>
      </c>
      <c r="AO75" s="40">
        <f t="shared" si="73"/>
        <v>0</v>
      </c>
      <c r="AP75" s="40">
        <f t="shared" si="74"/>
        <v>0</v>
      </c>
      <c r="AQ75" s="44">
        <f t="shared" si="75"/>
        <v>2964.5605507506903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20</v>
      </c>
      <c r="G76" s="35">
        <f>SUMIFS(WORKING!$AC$3:$AC$6802,WORKING!$A$3:$A$6802,Results!$D$3,WORKING!$B$3:$B$6802,Results!A76,WORKING!$C$3:$C$6802,Results!C76)/1000</f>
        <v>1700.90699</v>
      </c>
      <c r="H76" s="35">
        <f t="shared" si="60"/>
        <v>85.0453495</v>
      </c>
      <c r="I76" s="187">
        <v>15</v>
      </c>
      <c r="J76" s="212">
        <v>13929</v>
      </c>
      <c r="K76" s="217">
        <f t="shared" si="61"/>
        <v>928.6</v>
      </c>
      <c r="L76" s="34">
        <f t="shared" si="54"/>
        <v>15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973.36137882769958</v>
      </c>
      <c r="N76" s="57">
        <v>2</v>
      </c>
      <c r="O76" s="57">
        <v>0</v>
      </c>
      <c r="P76" s="61">
        <f t="shared" si="55"/>
        <v>17</v>
      </c>
      <c r="Q76" s="40">
        <f t="shared" si="62"/>
        <v>1946.7227576553992</v>
      </c>
      <c r="R76" s="40">
        <f t="shared" si="63"/>
        <v>0</v>
      </c>
      <c r="S76" s="44">
        <f t="shared" si="64"/>
        <v>16547.143440070893</v>
      </c>
      <c r="T76" s="35">
        <f t="shared" si="65"/>
        <v>17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1046.9479356770014</v>
      </c>
      <c r="V76" s="57">
        <v>0</v>
      </c>
      <c r="W76" s="57">
        <v>1</v>
      </c>
      <c r="X76" s="61">
        <f t="shared" si="56"/>
        <v>16</v>
      </c>
      <c r="Y76" s="40">
        <f t="shared" si="66"/>
        <v>0</v>
      </c>
      <c r="Z76" s="40">
        <f t="shared" si="67"/>
        <v>-1046.9479356770014</v>
      </c>
      <c r="AA76" s="44">
        <f t="shared" si="68"/>
        <v>16751.166970832022</v>
      </c>
      <c r="AB76" s="35">
        <f t="shared" si="69"/>
        <v>16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1125.0353129402881</v>
      </c>
      <c r="AD76" s="57">
        <v>0</v>
      </c>
      <c r="AE76" s="57">
        <v>1</v>
      </c>
      <c r="AF76" s="61">
        <f t="shared" si="57"/>
        <v>15</v>
      </c>
      <c r="AG76" s="40">
        <f t="shared" si="70"/>
        <v>0</v>
      </c>
      <c r="AH76" s="40">
        <f t="shared" si="71"/>
        <v>-1125.0353129402881</v>
      </c>
      <c r="AI76" s="44">
        <f t="shared" si="72"/>
        <v>16875.529694104323</v>
      </c>
      <c r="AJ76" s="35">
        <f t="shared" si="58"/>
        <v>15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1206.6637085057164</v>
      </c>
      <c r="AL76" s="57">
        <v>0</v>
      </c>
      <c r="AM76" s="57">
        <v>0</v>
      </c>
      <c r="AN76" s="61">
        <f t="shared" si="59"/>
        <v>15</v>
      </c>
      <c r="AO76" s="40">
        <f t="shared" si="73"/>
        <v>0</v>
      </c>
      <c r="AP76" s="40">
        <f t="shared" si="74"/>
        <v>0</v>
      </c>
      <c r="AQ76" s="44">
        <f t="shared" si="75"/>
        <v>18099.955627585747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9</v>
      </c>
      <c r="G77" s="35">
        <f>SUMIFS(WORKING!$AC$3:$AC$6802,WORKING!$A$3:$A$6802,Results!$D$3,WORKING!$B$3:$B$6802,Results!A77,WORKING!$C$3:$C$6802,Results!C77)/1000</f>
        <v>1328.41238</v>
      </c>
      <c r="H77" s="35">
        <f t="shared" si="60"/>
        <v>147.60137555555556</v>
      </c>
      <c r="I77" s="187">
        <v>5</v>
      </c>
      <c r="J77" s="212">
        <v>5601</v>
      </c>
      <c r="K77" s="217">
        <f t="shared" si="61"/>
        <v>1120.2</v>
      </c>
      <c r="L77" s="34">
        <f t="shared" si="54"/>
        <v>5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1174.2614723219608</v>
      </c>
      <c r="N77" s="57">
        <v>0</v>
      </c>
      <c r="O77" s="57">
        <v>1</v>
      </c>
      <c r="P77" s="61">
        <f t="shared" si="55"/>
        <v>4</v>
      </c>
      <c r="Q77" s="40">
        <f t="shared" si="62"/>
        <v>0</v>
      </c>
      <c r="R77" s="40">
        <f t="shared" si="63"/>
        <v>-1174.2614723219608</v>
      </c>
      <c r="S77" s="44">
        <f t="shared" si="64"/>
        <v>4697.0458892878432</v>
      </c>
      <c r="T77" s="35">
        <f t="shared" si="65"/>
        <v>4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1263.1054212094641</v>
      </c>
      <c r="V77" s="57">
        <v>0</v>
      </c>
      <c r="W77" s="57">
        <v>0</v>
      </c>
      <c r="X77" s="61">
        <f t="shared" si="56"/>
        <v>4</v>
      </c>
      <c r="Y77" s="40">
        <f t="shared" si="66"/>
        <v>0</v>
      </c>
      <c r="Z77" s="40">
        <f t="shared" si="67"/>
        <v>0</v>
      </c>
      <c r="AA77" s="44">
        <f t="shared" si="68"/>
        <v>5052.4216848378564</v>
      </c>
      <c r="AB77" s="35">
        <f t="shared" si="69"/>
        <v>4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1357.3894869348155</v>
      </c>
      <c r="AD77" s="57">
        <v>0</v>
      </c>
      <c r="AE77" s="57">
        <v>0</v>
      </c>
      <c r="AF77" s="61">
        <f t="shared" si="57"/>
        <v>4</v>
      </c>
      <c r="AG77" s="40">
        <f t="shared" si="70"/>
        <v>0</v>
      </c>
      <c r="AH77" s="40">
        <f t="shared" si="71"/>
        <v>0</v>
      </c>
      <c r="AI77" s="44">
        <f t="shared" si="72"/>
        <v>5429.5579477392621</v>
      </c>
      <c r="AJ77" s="35">
        <f t="shared" si="58"/>
        <v>4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1455.95646949769</v>
      </c>
      <c r="AL77" s="57">
        <v>0</v>
      </c>
      <c r="AM77" s="57">
        <v>0</v>
      </c>
      <c r="AN77" s="61">
        <f t="shared" si="59"/>
        <v>4</v>
      </c>
      <c r="AO77" s="40">
        <f t="shared" si="73"/>
        <v>0</v>
      </c>
      <c r="AP77" s="40">
        <f t="shared" si="74"/>
        <v>0</v>
      </c>
      <c r="AQ77" s="44">
        <f t="shared" si="75"/>
        <v>5823.8258779907601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5</v>
      </c>
      <c r="G78" s="35">
        <f>SUMIFS(WORKING!$AC$3:$AC$6802,WORKING!$A$3:$A$6802,Results!$D$3,WORKING!$B$3:$B$6802,Results!A78,WORKING!$C$3:$C$6802,Results!C78)/1000</f>
        <v>550.19808000000012</v>
      </c>
      <c r="H78" s="35">
        <f t="shared" si="60"/>
        <v>110.03961600000002</v>
      </c>
      <c r="I78" s="187">
        <v>3</v>
      </c>
      <c r="J78" s="212">
        <v>3803</v>
      </c>
      <c r="K78" s="217">
        <f t="shared" si="61"/>
        <v>1267.6666666666667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1329.1411209892267</v>
      </c>
      <c r="N78" s="57">
        <v>0</v>
      </c>
      <c r="O78" s="57">
        <v>0</v>
      </c>
      <c r="P78" s="61">
        <f t="shared" si="55"/>
        <v>3</v>
      </c>
      <c r="Q78" s="40">
        <f t="shared" si="62"/>
        <v>0</v>
      </c>
      <c r="R78" s="40">
        <f t="shared" si="63"/>
        <v>0</v>
      </c>
      <c r="S78" s="44">
        <f t="shared" si="64"/>
        <v>3987.4233629676801</v>
      </c>
      <c r="T78" s="35">
        <f t="shared" si="65"/>
        <v>3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1430.0218124083281</v>
      </c>
      <c r="V78" s="57">
        <v>0</v>
      </c>
      <c r="W78" s="57">
        <v>0</v>
      </c>
      <c r="X78" s="61">
        <f t="shared" si="56"/>
        <v>3</v>
      </c>
      <c r="Y78" s="40">
        <f t="shared" si="66"/>
        <v>0</v>
      </c>
      <c r="Z78" s="40">
        <f t="shared" si="67"/>
        <v>0</v>
      </c>
      <c r="AA78" s="44">
        <f t="shared" si="68"/>
        <v>4290.0654372249846</v>
      </c>
      <c r="AB78" s="35">
        <f t="shared" si="69"/>
        <v>3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1537.10779232145</v>
      </c>
      <c r="AD78" s="57">
        <v>0</v>
      </c>
      <c r="AE78" s="57">
        <v>1</v>
      </c>
      <c r="AF78" s="61">
        <f t="shared" si="57"/>
        <v>2</v>
      </c>
      <c r="AG78" s="40">
        <f t="shared" si="70"/>
        <v>0</v>
      </c>
      <c r="AH78" s="40">
        <f t="shared" si="71"/>
        <v>-1537.10779232145</v>
      </c>
      <c r="AI78" s="44">
        <f t="shared" si="72"/>
        <v>3074.2155846429</v>
      </c>
      <c r="AJ78" s="35">
        <f t="shared" si="58"/>
        <v>2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1649.0924893413107</v>
      </c>
      <c r="AL78" s="57">
        <v>0</v>
      </c>
      <c r="AM78" s="57">
        <v>0</v>
      </c>
      <c r="AN78" s="61">
        <f t="shared" si="59"/>
        <v>2</v>
      </c>
      <c r="AO78" s="40">
        <f t="shared" si="73"/>
        <v>0</v>
      </c>
      <c r="AP78" s="40">
        <f t="shared" si="74"/>
        <v>0</v>
      </c>
      <c r="AQ78" s="44">
        <f t="shared" si="75"/>
        <v>3298.1849786826215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</v>
      </c>
      <c r="G79" s="35">
        <f>SUMIFS(WORKING!$AC$3:$AC$6802,WORKING!$A$3:$A$6802,Results!$D$3,WORKING!$B$3:$B$6802,Results!A79,WORKING!$C$3:$C$6802,Results!C79)/1000</f>
        <v>425.46251000000001</v>
      </c>
      <c r="H79" s="35">
        <f t="shared" si="60"/>
        <v>212.731255</v>
      </c>
      <c r="I79" s="187">
        <v>1</v>
      </c>
      <c r="J79" s="212">
        <v>2000</v>
      </c>
      <c r="K79" s="217">
        <f t="shared" si="61"/>
        <v>2000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2096.7018637510505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2096.7018637510505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2255.5315720157582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2255.5315720157582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2424.103924778155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2424.103924778155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2600.3546662043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2600.3546662043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>
        <v>1</v>
      </c>
      <c r="J83" s="213">
        <v>2200</v>
      </c>
      <c r="K83" s="217">
        <f t="shared" si="77"/>
        <v>2200</v>
      </c>
      <c r="L83" s="34">
        <f t="shared" si="78"/>
        <v>1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2272.6</v>
      </c>
      <c r="N83" s="57">
        <v>0</v>
      </c>
      <c r="O83" s="57">
        <v>0</v>
      </c>
      <c r="P83" s="61">
        <f t="shared" si="79"/>
        <v>1</v>
      </c>
      <c r="Q83" s="40">
        <f t="shared" si="80"/>
        <v>0</v>
      </c>
      <c r="R83" s="40">
        <f t="shared" si="81"/>
        <v>0</v>
      </c>
      <c r="S83" s="44">
        <f t="shared" si="82"/>
        <v>2272.6</v>
      </c>
      <c r="T83" s="35">
        <f t="shared" si="83"/>
        <v>1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2408.9560000000001</v>
      </c>
      <c r="V83" s="57">
        <v>0</v>
      </c>
      <c r="W83" s="57">
        <v>0</v>
      </c>
      <c r="X83" s="61">
        <f t="shared" si="84"/>
        <v>1</v>
      </c>
      <c r="Y83" s="40">
        <f t="shared" si="85"/>
        <v>0</v>
      </c>
      <c r="Z83" s="40">
        <f t="shared" si="86"/>
        <v>0</v>
      </c>
      <c r="AA83" s="44">
        <f t="shared" si="87"/>
        <v>2408.9560000000001</v>
      </c>
      <c r="AB83" s="35">
        <f t="shared" si="88"/>
        <v>1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2551.0844040000002</v>
      </c>
      <c r="AD83" s="57">
        <v>0</v>
      </c>
      <c r="AE83" s="57">
        <v>0</v>
      </c>
      <c r="AF83" s="61">
        <f t="shared" si="89"/>
        <v>1</v>
      </c>
      <c r="AG83" s="40">
        <f t="shared" si="90"/>
        <v>0</v>
      </c>
      <c r="AH83" s="40">
        <f t="shared" si="91"/>
        <v>0</v>
      </c>
      <c r="AI83" s="44">
        <f t="shared" si="92"/>
        <v>2551.0844040000002</v>
      </c>
      <c r="AJ83" s="35">
        <f t="shared" si="93"/>
        <v>1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2696.4962150279998</v>
      </c>
      <c r="AL83" s="57">
        <v>0</v>
      </c>
      <c r="AM83" s="57">
        <v>0</v>
      </c>
      <c r="AN83" s="61">
        <f t="shared" si="94"/>
        <v>1</v>
      </c>
      <c r="AO83" s="40">
        <f t="shared" si="95"/>
        <v>0</v>
      </c>
      <c r="AP83" s="40">
        <f t="shared" si="96"/>
        <v>0</v>
      </c>
      <c r="AQ83" s="44">
        <f t="shared" si="97"/>
        <v>2696.4962150279998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111</v>
      </c>
      <c r="G84" s="41">
        <f>SUM(G64:G83)</f>
        <v>6456.1481599999997</v>
      </c>
      <c r="H84" s="41">
        <f>IFERROR(G84/F84,0)</f>
        <v>58.163496936936937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78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44172</v>
      </c>
      <c r="K84" s="41">
        <f>IFERROR(J84/I84,"")</f>
        <v>566.30769230769226</v>
      </c>
      <c r="L84" s="41">
        <f>SUM(L64:L83)</f>
        <v>78</v>
      </c>
      <c r="M84" s="41">
        <f>IFERROR(S84/P84,0)</f>
        <v>615.69991823937619</v>
      </c>
      <c r="N84" s="41">
        <f t="shared" ref="N84:T84" si="98">SUM(N64:N83)</f>
        <v>2</v>
      </c>
      <c r="O84" s="41">
        <f t="shared" si="98"/>
        <v>4</v>
      </c>
      <c r="P84" s="41">
        <f t="shared" si="98"/>
        <v>76</v>
      </c>
      <c r="Q84" s="41">
        <f t="shared" si="98"/>
        <v>1946.7227576553992</v>
      </c>
      <c r="R84" s="41">
        <f t="shared" si="98"/>
        <v>-2064.7559539460731</v>
      </c>
      <c r="S84" s="45">
        <f t="shared" si="98"/>
        <v>46793.193786192591</v>
      </c>
      <c r="T84" s="41">
        <f t="shared" si="98"/>
        <v>76</v>
      </c>
      <c r="U84" s="41">
        <f>IFERROR(AA84/X84,0)</f>
        <v>658.68771858009961</v>
      </c>
      <c r="V84" s="41">
        <f t="shared" ref="V84:AB84" si="99">SUM(V64:V83)</f>
        <v>0</v>
      </c>
      <c r="W84" s="41">
        <f t="shared" si="99"/>
        <v>1</v>
      </c>
      <c r="X84" s="41">
        <f t="shared" si="99"/>
        <v>75</v>
      </c>
      <c r="Y84" s="41">
        <f t="shared" si="99"/>
        <v>0</v>
      </c>
      <c r="Z84" s="41">
        <f t="shared" si="99"/>
        <v>-1046.9479356770014</v>
      </c>
      <c r="AA84" s="45">
        <f t="shared" si="99"/>
        <v>49401.578893507467</v>
      </c>
      <c r="AB84" s="41">
        <f t="shared" si="99"/>
        <v>75</v>
      </c>
      <c r="AC84" s="41">
        <f>IFERROR(AI84/AF84,0)</f>
        <v>692.50280808181992</v>
      </c>
      <c r="AD84" s="41">
        <f t="shared" ref="AD84:AJ84" si="100">SUM(AD64:AD83)</f>
        <v>0</v>
      </c>
      <c r="AE84" s="41">
        <f t="shared" si="100"/>
        <v>2</v>
      </c>
      <c r="AF84" s="41">
        <f t="shared" si="100"/>
        <v>73</v>
      </c>
      <c r="AG84" s="41">
        <f t="shared" si="100"/>
        <v>0</v>
      </c>
      <c r="AH84" s="41">
        <f t="shared" si="100"/>
        <v>-2662.1431052617381</v>
      </c>
      <c r="AI84" s="45">
        <f t="shared" si="100"/>
        <v>50552.704989972852</v>
      </c>
      <c r="AJ84" s="41">
        <f t="shared" si="100"/>
        <v>73</v>
      </c>
      <c r="AK84" s="41">
        <f>IFERROR(AQ84/AN84,0)</f>
        <v>744.66511312397358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73</v>
      </c>
      <c r="AO84" s="41">
        <f t="shared" si="101"/>
        <v>0</v>
      </c>
      <c r="AP84" s="41">
        <f t="shared" si="101"/>
        <v>0</v>
      </c>
      <c r="AQ84" s="45">
        <f t="shared" si="101"/>
        <v>54360.553258050073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51363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50214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51556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55474.256000000001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4569.8062138074092</v>
      </c>
      <c r="T86" s="39"/>
      <c r="U86" s="39"/>
      <c r="V86" s="53"/>
      <c r="W86" s="53"/>
      <c r="X86" s="110"/>
      <c r="Y86" s="39"/>
      <c r="Z86" s="39"/>
      <c r="AA86" s="54">
        <f>AA85-AA84</f>
        <v>812.421106492533</v>
      </c>
      <c r="AB86" s="39"/>
      <c r="AC86" s="53"/>
      <c r="AD86" s="53"/>
      <c r="AE86" s="110"/>
      <c r="AF86" s="39"/>
      <c r="AG86" s="39"/>
      <c r="AH86" s="39"/>
      <c r="AI86" s="54">
        <f>AI85-AI84</f>
        <v>1003.2950100271482</v>
      </c>
      <c r="AJ86" s="53"/>
      <c r="AK86" s="53"/>
      <c r="AL86" s="110"/>
      <c r="AM86" s="110"/>
      <c r="AN86" s="110"/>
      <c r="AO86" s="110"/>
      <c r="AP86" s="111"/>
      <c r="AQ86" s="54">
        <f>AQ85-AQ84</f>
        <v>1113.7027419499282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Social Transformation and Economic Empowerment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>
        <v>1</v>
      </c>
      <c r="J97" s="212">
        <v>235</v>
      </c>
      <c r="K97" s="217">
        <f t="shared" si="109"/>
        <v>235</v>
      </c>
      <c r="L97" s="34">
        <f t="shared" si="102"/>
        <v>1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252.34950586238898</v>
      </c>
      <c r="N97" s="57">
        <v>0</v>
      </c>
      <c r="O97" s="57">
        <v>0</v>
      </c>
      <c r="P97" s="61">
        <f t="shared" si="103"/>
        <v>1</v>
      </c>
      <c r="Q97" s="40">
        <f t="shared" si="110"/>
        <v>0</v>
      </c>
      <c r="R97" s="40">
        <f t="shared" si="111"/>
        <v>0</v>
      </c>
      <c r="S97" s="44">
        <f t="shared" si="112"/>
        <v>252.34950586238898</v>
      </c>
      <c r="T97" s="35">
        <f t="shared" si="113"/>
        <v>1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270.02232888627145</v>
      </c>
      <c r="V97" s="57">
        <v>0</v>
      </c>
      <c r="W97" s="57">
        <v>0</v>
      </c>
      <c r="X97" s="61">
        <f t="shared" si="104"/>
        <v>1</v>
      </c>
      <c r="Y97" s="40">
        <f t="shared" si="114"/>
        <v>0</v>
      </c>
      <c r="Z97" s="40">
        <f t="shared" si="115"/>
        <v>0</v>
      </c>
      <c r="AA97" s="44">
        <f t="shared" si="116"/>
        <v>270.02232888627145</v>
      </c>
      <c r="AB97" s="35">
        <f t="shared" si="117"/>
        <v>1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288.66281250268304</v>
      </c>
      <c r="AD97" s="57">
        <v>0</v>
      </c>
      <c r="AE97" s="57">
        <v>0</v>
      </c>
      <c r="AF97" s="61">
        <f t="shared" si="105"/>
        <v>1</v>
      </c>
      <c r="AG97" s="40">
        <f t="shared" si="118"/>
        <v>0</v>
      </c>
      <c r="AH97" s="40">
        <f t="shared" si="119"/>
        <v>0</v>
      </c>
      <c r="AI97" s="44">
        <f t="shared" si="120"/>
        <v>288.66281250268304</v>
      </c>
      <c r="AJ97" s="35">
        <f t="shared" si="106"/>
        <v>1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308.01278122150893</v>
      </c>
      <c r="AL97" s="57">
        <v>0</v>
      </c>
      <c r="AM97" s="57">
        <v>0</v>
      </c>
      <c r="AN97" s="61">
        <f t="shared" si="107"/>
        <v>1</v>
      </c>
      <c r="AO97" s="40">
        <f t="shared" si="121"/>
        <v>0</v>
      </c>
      <c r="AP97" s="40">
        <f t="shared" si="122"/>
        <v>0</v>
      </c>
      <c r="AQ97" s="44">
        <f t="shared" si="123"/>
        <v>308.01278122150893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>
        <v>3</v>
      </c>
      <c r="J98" s="212">
        <v>820</v>
      </c>
      <c r="K98" s="217">
        <f t="shared" si="109"/>
        <v>273.33333333333331</v>
      </c>
      <c r="L98" s="34">
        <f t="shared" si="102"/>
        <v>3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293.51290043568645</v>
      </c>
      <c r="N98" s="57">
        <v>0</v>
      </c>
      <c r="O98" s="57">
        <v>0</v>
      </c>
      <c r="P98" s="61">
        <f t="shared" si="103"/>
        <v>3</v>
      </c>
      <c r="Q98" s="40">
        <f t="shared" si="110"/>
        <v>0</v>
      </c>
      <c r="R98" s="40">
        <f t="shared" si="111"/>
        <v>0</v>
      </c>
      <c r="S98" s="44">
        <f t="shared" si="112"/>
        <v>880.53870130705934</v>
      </c>
      <c r="T98" s="35">
        <f t="shared" si="113"/>
        <v>3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314.06852437835829</v>
      </c>
      <c r="V98" s="57">
        <v>0</v>
      </c>
      <c r="W98" s="57">
        <v>0</v>
      </c>
      <c r="X98" s="61">
        <f t="shared" si="104"/>
        <v>3</v>
      </c>
      <c r="Y98" s="40">
        <f t="shared" si="114"/>
        <v>0</v>
      </c>
      <c r="Z98" s="40">
        <f t="shared" si="115"/>
        <v>0</v>
      </c>
      <c r="AA98" s="44">
        <f t="shared" si="116"/>
        <v>942.20557313507493</v>
      </c>
      <c r="AB98" s="35">
        <f t="shared" si="117"/>
        <v>3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335.74965425843982</v>
      </c>
      <c r="AD98" s="57">
        <v>0</v>
      </c>
      <c r="AE98" s="57">
        <v>0</v>
      </c>
      <c r="AF98" s="61">
        <f t="shared" si="105"/>
        <v>3</v>
      </c>
      <c r="AG98" s="40">
        <f t="shared" si="118"/>
        <v>0</v>
      </c>
      <c r="AH98" s="40">
        <f t="shared" si="119"/>
        <v>0</v>
      </c>
      <c r="AI98" s="44">
        <f t="shared" si="120"/>
        <v>1007.2489627753195</v>
      </c>
      <c r="AJ98" s="35">
        <f t="shared" si="106"/>
        <v>3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358.25600085338624</v>
      </c>
      <c r="AL98" s="57">
        <v>0</v>
      </c>
      <c r="AM98" s="57">
        <v>0</v>
      </c>
      <c r="AN98" s="61">
        <f t="shared" si="107"/>
        <v>3</v>
      </c>
      <c r="AO98" s="40">
        <f t="shared" si="121"/>
        <v>0</v>
      </c>
      <c r="AP98" s="40">
        <f t="shared" si="122"/>
        <v>0</v>
      </c>
      <c r="AQ98" s="44">
        <f t="shared" si="123"/>
        <v>1074.7680025601587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 t="s">
        <v>754</v>
      </c>
      <c r="J99" s="212" t="s">
        <v>754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>
        <v>2</v>
      </c>
      <c r="J100" s="212">
        <v>743</v>
      </c>
      <c r="K100" s="217">
        <f t="shared" si="109"/>
        <v>371.5</v>
      </c>
      <c r="L100" s="34">
        <f t="shared" si="102"/>
        <v>2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398.92698479947876</v>
      </c>
      <c r="N100" s="57">
        <v>1</v>
      </c>
      <c r="O100" s="57">
        <v>0</v>
      </c>
      <c r="P100" s="61">
        <f t="shared" si="103"/>
        <v>3</v>
      </c>
      <c r="Q100" s="40">
        <f t="shared" si="110"/>
        <v>398.92698479947876</v>
      </c>
      <c r="R100" s="40">
        <f t="shared" si="111"/>
        <v>0</v>
      </c>
      <c r="S100" s="44">
        <f t="shared" si="112"/>
        <v>1196.7809543984363</v>
      </c>
      <c r="T100" s="35">
        <f t="shared" si="113"/>
        <v>3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426.86508587765894</v>
      </c>
      <c r="V100" s="57">
        <v>0</v>
      </c>
      <c r="W100" s="57">
        <v>0</v>
      </c>
      <c r="X100" s="61">
        <f t="shared" si="104"/>
        <v>3</v>
      </c>
      <c r="Y100" s="40">
        <f t="shared" si="114"/>
        <v>0</v>
      </c>
      <c r="Z100" s="40">
        <f t="shared" si="115"/>
        <v>0</v>
      </c>
      <c r="AA100" s="44">
        <f t="shared" si="116"/>
        <v>1280.5952576329769</v>
      </c>
      <c r="AB100" s="35">
        <f t="shared" si="117"/>
        <v>3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456.33291423296487</v>
      </c>
      <c r="AD100" s="57">
        <v>0</v>
      </c>
      <c r="AE100" s="57">
        <v>0</v>
      </c>
      <c r="AF100" s="61">
        <f t="shared" si="105"/>
        <v>3</v>
      </c>
      <c r="AG100" s="40">
        <f t="shared" si="118"/>
        <v>0</v>
      </c>
      <c r="AH100" s="40">
        <f t="shared" si="119"/>
        <v>0</v>
      </c>
      <c r="AI100" s="44">
        <f t="shared" si="120"/>
        <v>1368.9987426988946</v>
      </c>
      <c r="AJ100" s="35">
        <f t="shared" si="106"/>
        <v>3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486.92233286719392</v>
      </c>
      <c r="AL100" s="57">
        <v>0</v>
      </c>
      <c r="AM100" s="57">
        <v>0</v>
      </c>
      <c r="AN100" s="61">
        <f t="shared" si="107"/>
        <v>3</v>
      </c>
      <c r="AO100" s="40">
        <f t="shared" si="121"/>
        <v>0</v>
      </c>
      <c r="AP100" s="40">
        <f t="shared" si="122"/>
        <v>0</v>
      </c>
      <c r="AQ100" s="44">
        <f t="shared" si="123"/>
        <v>1460.7669986015817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 t="s">
        <v>754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>
        <v>1</v>
      </c>
      <c r="J102" s="212">
        <v>578</v>
      </c>
      <c r="K102" s="217">
        <f t="shared" si="109"/>
        <v>578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621.928</v>
      </c>
      <c r="N102" s="57">
        <v>0</v>
      </c>
      <c r="O102" s="57">
        <v>0</v>
      </c>
      <c r="P102" s="61">
        <f t="shared" si="103"/>
        <v>1</v>
      </c>
      <c r="Q102" s="40">
        <f t="shared" si="110"/>
        <v>0</v>
      </c>
      <c r="R102" s="40">
        <f t="shared" si="111"/>
        <v>0</v>
      </c>
      <c r="S102" s="44">
        <f t="shared" si="112"/>
        <v>621.928</v>
      </c>
      <c r="T102" s="35">
        <f t="shared" si="113"/>
        <v>1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665.46296000000007</v>
      </c>
      <c r="V102" s="57">
        <v>0</v>
      </c>
      <c r="W102" s="57">
        <v>0</v>
      </c>
      <c r="X102" s="61">
        <f t="shared" si="104"/>
        <v>1</v>
      </c>
      <c r="Y102" s="40">
        <f t="shared" si="114"/>
        <v>0</v>
      </c>
      <c r="Z102" s="40">
        <f t="shared" si="115"/>
        <v>0</v>
      </c>
      <c r="AA102" s="44">
        <f t="shared" si="116"/>
        <v>665.46296000000007</v>
      </c>
      <c r="AB102" s="35">
        <f t="shared" si="117"/>
        <v>1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711.37990424000009</v>
      </c>
      <c r="AD102" s="57">
        <v>0</v>
      </c>
      <c r="AE102" s="57">
        <v>0</v>
      </c>
      <c r="AF102" s="61">
        <f t="shared" si="105"/>
        <v>1</v>
      </c>
      <c r="AG102" s="40">
        <f t="shared" si="118"/>
        <v>0</v>
      </c>
      <c r="AH102" s="40">
        <f t="shared" si="119"/>
        <v>0</v>
      </c>
      <c r="AI102" s="44">
        <f t="shared" si="120"/>
        <v>711.37990424000009</v>
      </c>
      <c r="AJ102" s="35">
        <f t="shared" si="106"/>
        <v>1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759.04235782408</v>
      </c>
      <c r="AL102" s="57">
        <v>0</v>
      </c>
      <c r="AM102" s="57">
        <v>0</v>
      </c>
      <c r="AN102" s="61">
        <f t="shared" si="107"/>
        <v>1</v>
      </c>
      <c r="AO102" s="40">
        <f t="shared" si="121"/>
        <v>0</v>
      </c>
      <c r="AP102" s="40">
        <f t="shared" si="122"/>
        <v>0</v>
      </c>
      <c r="AQ102" s="44">
        <f t="shared" si="123"/>
        <v>759.04235782408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 t="s">
        <v>754</v>
      </c>
      <c r="J103" s="212" t="s">
        <v>754</v>
      </c>
      <c r="K103" s="217" t="str">
        <f t="shared" si="109"/>
        <v/>
      </c>
      <c r="L103" s="34">
        <f t="shared" si="102"/>
        <v>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0</v>
      </c>
      <c r="N103" s="57">
        <v>0</v>
      </c>
      <c r="O103" s="57">
        <v>0</v>
      </c>
      <c r="P103" s="61">
        <f t="shared" si="103"/>
        <v>0</v>
      </c>
      <c r="Q103" s="40">
        <f t="shared" si="110"/>
        <v>0</v>
      </c>
      <c r="R103" s="40">
        <f t="shared" si="111"/>
        <v>0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0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0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0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 t="s">
        <v>754</v>
      </c>
      <c r="J104" s="212" t="s">
        <v>754</v>
      </c>
      <c r="K104" s="217" t="str">
        <f t="shared" si="109"/>
        <v/>
      </c>
      <c r="L104" s="34">
        <f t="shared" si="102"/>
        <v>0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0</v>
      </c>
      <c r="N104" s="57">
        <v>0</v>
      </c>
      <c r="O104" s="57">
        <v>0</v>
      </c>
      <c r="P104" s="61">
        <f t="shared" si="103"/>
        <v>0</v>
      </c>
      <c r="Q104" s="40">
        <f t="shared" si="110"/>
        <v>0</v>
      </c>
      <c r="R104" s="40">
        <f t="shared" si="111"/>
        <v>0</v>
      </c>
      <c r="S104" s="44">
        <f t="shared" si="112"/>
        <v>0</v>
      </c>
      <c r="T104" s="35">
        <f t="shared" si="113"/>
        <v>0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0</v>
      </c>
      <c r="V104" s="57">
        <v>0</v>
      </c>
      <c r="W104" s="57">
        <v>0</v>
      </c>
      <c r="X104" s="61">
        <f t="shared" si="104"/>
        <v>0</v>
      </c>
      <c r="Y104" s="40">
        <f t="shared" si="114"/>
        <v>0</v>
      </c>
      <c r="Z104" s="40">
        <f t="shared" si="115"/>
        <v>0</v>
      </c>
      <c r="AA104" s="44">
        <f t="shared" si="116"/>
        <v>0</v>
      </c>
      <c r="AB104" s="35">
        <f t="shared" si="117"/>
        <v>0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0</v>
      </c>
      <c r="AD104" s="57">
        <v>0</v>
      </c>
      <c r="AE104" s="57">
        <v>0</v>
      </c>
      <c r="AF104" s="61">
        <f t="shared" si="105"/>
        <v>0</v>
      </c>
      <c r="AG104" s="40">
        <f t="shared" si="118"/>
        <v>0</v>
      </c>
      <c r="AH104" s="40">
        <f t="shared" si="119"/>
        <v>0</v>
      </c>
      <c r="AI104" s="44">
        <f t="shared" si="120"/>
        <v>0</v>
      </c>
      <c r="AJ104" s="35">
        <f t="shared" si="106"/>
        <v>0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0</v>
      </c>
      <c r="AL104" s="57">
        <v>0</v>
      </c>
      <c r="AM104" s="57">
        <v>0</v>
      </c>
      <c r="AN104" s="61">
        <f t="shared" si="107"/>
        <v>0</v>
      </c>
      <c r="AO104" s="40">
        <f t="shared" si="121"/>
        <v>0</v>
      </c>
      <c r="AP104" s="40">
        <f t="shared" si="122"/>
        <v>0</v>
      </c>
      <c r="AQ104" s="44">
        <f t="shared" si="123"/>
        <v>0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>
        <v>1</v>
      </c>
      <c r="J105" s="212">
        <v>1085</v>
      </c>
      <c r="K105" s="217">
        <f t="shared" si="109"/>
        <v>1085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1120.8049999999998</v>
      </c>
      <c r="N105" s="57">
        <v>1</v>
      </c>
      <c r="O105" s="57">
        <v>0</v>
      </c>
      <c r="P105" s="61">
        <f t="shared" si="103"/>
        <v>2</v>
      </c>
      <c r="Q105" s="40">
        <f t="shared" si="110"/>
        <v>1120.8049999999998</v>
      </c>
      <c r="R105" s="40">
        <f t="shared" si="111"/>
        <v>0</v>
      </c>
      <c r="S105" s="44">
        <f t="shared" si="112"/>
        <v>2241.6099999999997</v>
      </c>
      <c r="T105" s="35">
        <f t="shared" si="113"/>
        <v>2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1188.0532999999998</v>
      </c>
      <c r="V105" s="57">
        <v>0</v>
      </c>
      <c r="W105" s="57">
        <v>0</v>
      </c>
      <c r="X105" s="61">
        <f t="shared" si="104"/>
        <v>2</v>
      </c>
      <c r="Y105" s="40">
        <f t="shared" si="114"/>
        <v>0</v>
      </c>
      <c r="Z105" s="40">
        <f t="shared" si="115"/>
        <v>0</v>
      </c>
      <c r="AA105" s="44">
        <f t="shared" si="116"/>
        <v>2376.1065999999996</v>
      </c>
      <c r="AB105" s="35">
        <f t="shared" si="117"/>
        <v>2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1258.1484446999998</v>
      </c>
      <c r="AD105" s="57">
        <v>0</v>
      </c>
      <c r="AE105" s="57">
        <v>0</v>
      </c>
      <c r="AF105" s="61">
        <f t="shared" si="105"/>
        <v>2</v>
      </c>
      <c r="AG105" s="40">
        <f t="shared" si="118"/>
        <v>0</v>
      </c>
      <c r="AH105" s="40">
        <f t="shared" si="119"/>
        <v>0</v>
      </c>
      <c r="AI105" s="44">
        <f t="shared" si="120"/>
        <v>2516.2968893999996</v>
      </c>
      <c r="AJ105" s="35">
        <f t="shared" si="106"/>
        <v>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1329.8629060478997</v>
      </c>
      <c r="AL105" s="57">
        <v>0</v>
      </c>
      <c r="AM105" s="57">
        <v>0</v>
      </c>
      <c r="AN105" s="61">
        <f t="shared" si="107"/>
        <v>2</v>
      </c>
      <c r="AO105" s="40">
        <f t="shared" si="121"/>
        <v>0</v>
      </c>
      <c r="AP105" s="40">
        <f t="shared" si="122"/>
        <v>0</v>
      </c>
      <c r="AQ105" s="44">
        <f t="shared" si="123"/>
        <v>2659.7258120957995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>
        <v>1</v>
      </c>
      <c r="J106" s="212">
        <v>1268</v>
      </c>
      <c r="K106" s="217">
        <f t="shared" si="109"/>
        <v>1268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1309.8439999999998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1309.8439999999998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1388.4346399999999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1388.4346399999999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1470.3522837599999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1470.3522837599999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1554.1623639343197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1554.1623639343197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0</v>
      </c>
      <c r="G112" s="41">
        <f>SUM(G92:G111)</f>
        <v>0</v>
      </c>
      <c r="H112" s="41">
        <f>IFERROR(G112/F112,0)</f>
        <v>0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9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4729</v>
      </c>
      <c r="K112" s="41">
        <f>IFERROR(J112/I112,"")</f>
        <v>525.44444444444446</v>
      </c>
      <c r="L112" s="41">
        <f>SUM(L92:L111)</f>
        <v>9</v>
      </c>
      <c r="M112" s="41">
        <f>IFERROR(S112/P112,0)</f>
        <v>591.18646923344397</v>
      </c>
      <c r="N112" s="41">
        <f t="shared" ref="N112:T112" si="124">SUM(N92:N111)</f>
        <v>2</v>
      </c>
      <c r="O112" s="41">
        <f t="shared" si="124"/>
        <v>0</v>
      </c>
      <c r="P112" s="41">
        <f t="shared" si="124"/>
        <v>11</v>
      </c>
      <c r="Q112" s="41">
        <f t="shared" si="124"/>
        <v>1519.7319847994786</v>
      </c>
      <c r="R112" s="41">
        <f t="shared" si="124"/>
        <v>0</v>
      </c>
      <c r="S112" s="45">
        <f t="shared" si="124"/>
        <v>6503.0511615678843</v>
      </c>
      <c r="T112" s="41">
        <f t="shared" si="124"/>
        <v>11</v>
      </c>
      <c r="U112" s="41">
        <f>IFERROR(AA112/X112,0)</f>
        <v>629.34794178675656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11</v>
      </c>
      <c r="Y112" s="41">
        <f t="shared" si="125"/>
        <v>0</v>
      </c>
      <c r="Z112" s="41">
        <f t="shared" si="125"/>
        <v>0</v>
      </c>
      <c r="AA112" s="45">
        <f t="shared" si="125"/>
        <v>6922.8273596543222</v>
      </c>
      <c r="AB112" s="41">
        <f t="shared" si="125"/>
        <v>11</v>
      </c>
      <c r="AC112" s="41">
        <f>IFERROR(AI112/AF112,0)</f>
        <v>669.35814503426332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11</v>
      </c>
      <c r="AG112" s="41">
        <f t="shared" si="126"/>
        <v>0</v>
      </c>
      <c r="AH112" s="41">
        <f t="shared" si="126"/>
        <v>0</v>
      </c>
      <c r="AI112" s="45">
        <f t="shared" si="126"/>
        <v>7362.9395953768962</v>
      </c>
      <c r="AJ112" s="41">
        <f t="shared" si="126"/>
        <v>11</v>
      </c>
      <c r="AK112" s="41">
        <f>IFERROR(AQ112/AN112,0)</f>
        <v>710.58893783976805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11</v>
      </c>
      <c r="AO112" s="41">
        <f t="shared" si="127"/>
        <v>0</v>
      </c>
      <c r="AP112" s="41">
        <f t="shared" si="127"/>
        <v>0</v>
      </c>
      <c r="AQ112" s="45">
        <f t="shared" si="127"/>
        <v>7816.4783162374488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7265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7008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7216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7764.4160000000002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761.94883843211574</v>
      </c>
      <c r="T114" s="39"/>
      <c r="U114" s="39"/>
      <c r="V114" s="53"/>
      <c r="W114" s="53"/>
      <c r="X114" s="110"/>
      <c r="Y114" s="39"/>
      <c r="Z114" s="39"/>
      <c r="AA114" s="54">
        <f>AA113-AA112</f>
        <v>85.172640345677792</v>
      </c>
      <c r="AB114" s="39"/>
      <c r="AC114" s="53"/>
      <c r="AD114" s="53"/>
      <c r="AE114" s="110"/>
      <c r="AF114" s="39"/>
      <c r="AG114" s="39"/>
      <c r="AH114" s="39"/>
      <c r="AI114" s="54">
        <f>AI113-AI112</f>
        <v>-146.93959537689625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-52.062316237448613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Policy, Stakeholder Coordination and Knowledge Management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>
        <v>3</v>
      </c>
      <c r="J125" s="212">
        <v>705</v>
      </c>
      <c r="K125" s="217">
        <f t="shared" si="135"/>
        <v>235</v>
      </c>
      <c r="L125" s="34">
        <f t="shared" si="128"/>
        <v>3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252.34950586238898</v>
      </c>
      <c r="N125" s="57">
        <v>0</v>
      </c>
      <c r="O125" s="57">
        <v>0</v>
      </c>
      <c r="P125" s="61">
        <f t="shared" si="129"/>
        <v>3</v>
      </c>
      <c r="Q125" s="40">
        <f t="shared" si="136"/>
        <v>0</v>
      </c>
      <c r="R125" s="40">
        <f t="shared" si="137"/>
        <v>0</v>
      </c>
      <c r="S125" s="44">
        <f t="shared" si="138"/>
        <v>757.048517587167</v>
      </c>
      <c r="T125" s="35">
        <f t="shared" si="139"/>
        <v>3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270.02232888627145</v>
      </c>
      <c r="V125" s="57">
        <v>0</v>
      </c>
      <c r="W125" s="57">
        <v>0</v>
      </c>
      <c r="X125" s="61">
        <f t="shared" si="130"/>
        <v>3</v>
      </c>
      <c r="Y125" s="40">
        <f t="shared" si="140"/>
        <v>0</v>
      </c>
      <c r="Z125" s="40">
        <f t="shared" si="141"/>
        <v>0</v>
      </c>
      <c r="AA125" s="44">
        <f t="shared" si="142"/>
        <v>810.06698665881436</v>
      </c>
      <c r="AB125" s="35">
        <f t="shared" si="143"/>
        <v>3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288.66281250268304</v>
      </c>
      <c r="AD125" s="57">
        <v>0</v>
      </c>
      <c r="AE125" s="57">
        <v>0</v>
      </c>
      <c r="AF125" s="61">
        <f t="shared" si="131"/>
        <v>3</v>
      </c>
      <c r="AG125" s="40">
        <f t="shared" si="144"/>
        <v>0</v>
      </c>
      <c r="AH125" s="40">
        <f t="shared" si="145"/>
        <v>0</v>
      </c>
      <c r="AI125" s="44">
        <f t="shared" si="146"/>
        <v>865.98843750804917</v>
      </c>
      <c r="AJ125" s="35">
        <f t="shared" si="132"/>
        <v>3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308.01278122150893</v>
      </c>
      <c r="AL125" s="57">
        <v>0</v>
      </c>
      <c r="AM125" s="57">
        <v>0</v>
      </c>
      <c r="AN125" s="61">
        <f t="shared" si="133"/>
        <v>3</v>
      </c>
      <c r="AO125" s="40">
        <f t="shared" si="147"/>
        <v>0</v>
      </c>
      <c r="AP125" s="40">
        <f t="shared" si="148"/>
        <v>0</v>
      </c>
      <c r="AQ125" s="44">
        <f t="shared" si="149"/>
        <v>924.03834366452679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>
        <v>3</v>
      </c>
      <c r="J126" s="212">
        <v>798</v>
      </c>
      <c r="K126" s="217">
        <f t="shared" si="135"/>
        <v>266</v>
      </c>
      <c r="L126" s="34">
        <f t="shared" si="128"/>
        <v>3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285.63816408253388</v>
      </c>
      <c r="N126" s="57">
        <v>0</v>
      </c>
      <c r="O126" s="57">
        <v>0</v>
      </c>
      <c r="P126" s="61">
        <f t="shared" si="129"/>
        <v>3</v>
      </c>
      <c r="Q126" s="40">
        <f t="shared" si="136"/>
        <v>0</v>
      </c>
      <c r="R126" s="40">
        <f t="shared" si="137"/>
        <v>0</v>
      </c>
      <c r="S126" s="44">
        <f t="shared" si="138"/>
        <v>856.91449224760163</v>
      </c>
      <c r="T126" s="35">
        <f t="shared" si="139"/>
        <v>3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305.64229567552428</v>
      </c>
      <c r="V126" s="57">
        <v>0</v>
      </c>
      <c r="W126" s="57">
        <v>0</v>
      </c>
      <c r="X126" s="61">
        <f t="shared" si="130"/>
        <v>3</v>
      </c>
      <c r="Y126" s="40">
        <f t="shared" si="140"/>
        <v>0</v>
      </c>
      <c r="Z126" s="40">
        <f t="shared" si="141"/>
        <v>0</v>
      </c>
      <c r="AA126" s="44">
        <f t="shared" si="142"/>
        <v>916.92688702657279</v>
      </c>
      <c r="AB126" s="35">
        <f t="shared" si="143"/>
        <v>3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326.74173670516461</v>
      </c>
      <c r="AD126" s="57">
        <v>0</v>
      </c>
      <c r="AE126" s="57">
        <v>0</v>
      </c>
      <c r="AF126" s="61">
        <f t="shared" si="131"/>
        <v>3</v>
      </c>
      <c r="AG126" s="40">
        <f t="shared" si="144"/>
        <v>0</v>
      </c>
      <c r="AH126" s="40">
        <f t="shared" si="145"/>
        <v>0</v>
      </c>
      <c r="AI126" s="44">
        <f t="shared" si="146"/>
        <v>980.22521011549384</v>
      </c>
      <c r="AJ126" s="35">
        <f t="shared" si="132"/>
        <v>3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348.64425448902711</v>
      </c>
      <c r="AL126" s="57">
        <v>0</v>
      </c>
      <c r="AM126" s="57">
        <v>0</v>
      </c>
      <c r="AN126" s="61">
        <f t="shared" si="133"/>
        <v>3</v>
      </c>
      <c r="AO126" s="40">
        <f t="shared" si="147"/>
        <v>0</v>
      </c>
      <c r="AP126" s="40">
        <f t="shared" si="148"/>
        <v>0</v>
      </c>
      <c r="AQ126" s="44">
        <f t="shared" si="149"/>
        <v>1045.9327634670813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1</v>
      </c>
      <c r="J127" s="212">
        <v>319</v>
      </c>
      <c r="K127" s="217">
        <f t="shared" si="135"/>
        <v>319</v>
      </c>
      <c r="L127" s="34">
        <f t="shared" si="128"/>
        <v>1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342.55103136213654</v>
      </c>
      <c r="N127" s="57">
        <v>0</v>
      </c>
      <c r="O127" s="57">
        <v>0</v>
      </c>
      <c r="P127" s="61">
        <f t="shared" si="129"/>
        <v>1</v>
      </c>
      <c r="Q127" s="40">
        <f t="shared" si="136"/>
        <v>0</v>
      </c>
      <c r="R127" s="40">
        <f t="shared" si="137"/>
        <v>0</v>
      </c>
      <c r="S127" s="44">
        <f t="shared" si="138"/>
        <v>342.55103136213654</v>
      </c>
      <c r="T127" s="35">
        <f t="shared" si="139"/>
        <v>1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366.54094857327914</v>
      </c>
      <c r="V127" s="57">
        <v>0</v>
      </c>
      <c r="W127" s="57">
        <v>0</v>
      </c>
      <c r="X127" s="61">
        <f t="shared" si="130"/>
        <v>1</v>
      </c>
      <c r="Y127" s="40">
        <f t="shared" si="140"/>
        <v>0</v>
      </c>
      <c r="Z127" s="40">
        <f t="shared" si="141"/>
        <v>0</v>
      </c>
      <c r="AA127" s="44">
        <f t="shared" si="142"/>
        <v>366.54094857327914</v>
      </c>
      <c r="AB127" s="35">
        <f t="shared" si="143"/>
        <v>1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391.84441356747186</v>
      </c>
      <c r="AD127" s="57">
        <v>0</v>
      </c>
      <c r="AE127" s="57">
        <v>0</v>
      </c>
      <c r="AF127" s="61">
        <f t="shared" si="131"/>
        <v>1</v>
      </c>
      <c r="AG127" s="40">
        <f t="shared" si="144"/>
        <v>0</v>
      </c>
      <c r="AH127" s="40">
        <f t="shared" si="145"/>
        <v>0</v>
      </c>
      <c r="AI127" s="44">
        <f t="shared" si="146"/>
        <v>391.84441356747186</v>
      </c>
      <c r="AJ127" s="35">
        <f t="shared" si="132"/>
        <v>1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418.1109668496228</v>
      </c>
      <c r="AL127" s="57">
        <v>0</v>
      </c>
      <c r="AM127" s="57">
        <v>0</v>
      </c>
      <c r="AN127" s="61">
        <f t="shared" si="133"/>
        <v>1</v>
      </c>
      <c r="AO127" s="40">
        <f t="shared" si="147"/>
        <v>0</v>
      </c>
      <c r="AP127" s="40">
        <f t="shared" si="148"/>
        <v>0</v>
      </c>
      <c r="AQ127" s="44">
        <f t="shared" si="149"/>
        <v>418.1109668496228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>
        <v>2</v>
      </c>
      <c r="J128" s="212">
        <v>724</v>
      </c>
      <c r="K128" s="217">
        <f t="shared" si="135"/>
        <v>362</v>
      </c>
      <c r="L128" s="34">
        <f t="shared" si="128"/>
        <v>2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388.72562179653107</v>
      </c>
      <c r="N128" s="57">
        <v>0</v>
      </c>
      <c r="O128" s="57">
        <v>1</v>
      </c>
      <c r="P128" s="61">
        <f t="shared" si="129"/>
        <v>1</v>
      </c>
      <c r="Q128" s="40">
        <f t="shared" si="136"/>
        <v>0</v>
      </c>
      <c r="R128" s="40">
        <f t="shared" si="137"/>
        <v>-388.72562179653107</v>
      </c>
      <c r="S128" s="44">
        <f t="shared" si="138"/>
        <v>388.72562179653107</v>
      </c>
      <c r="T128" s="35">
        <f t="shared" si="139"/>
        <v>1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415.94928960353303</v>
      </c>
      <c r="V128" s="57">
        <v>0</v>
      </c>
      <c r="W128" s="57">
        <v>0</v>
      </c>
      <c r="X128" s="61">
        <f t="shared" si="130"/>
        <v>1</v>
      </c>
      <c r="Y128" s="40">
        <f t="shared" si="140"/>
        <v>0</v>
      </c>
      <c r="Z128" s="40">
        <f t="shared" si="141"/>
        <v>0</v>
      </c>
      <c r="AA128" s="44">
        <f t="shared" si="142"/>
        <v>415.94928960353303</v>
      </c>
      <c r="AB128" s="35">
        <f t="shared" si="143"/>
        <v>1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444.66356649349467</v>
      </c>
      <c r="AD128" s="57">
        <v>0</v>
      </c>
      <c r="AE128" s="57">
        <v>0</v>
      </c>
      <c r="AF128" s="61">
        <f t="shared" si="131"/>
        <v>1</v>
      </c>
      <c r="AG128" s="40">
        <f t="shared" si="144"/>
        <v>0</v>
      </c>
      <c r="AH128" s="40">
        <f t="shared" si="145"/>
        <v>0</v>
      </c>
      <c r="AI128" s="44">
        <f t="shared" si="146"/>
        <v>444.66356649349467</v>
      </c>
      <c r="AJ128" s="35">
        <f t="shared" si="132"/>
        <v>1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474.47075234972863</v>
      </c>
      <c r="AL128" s="57">
        <v>0</v>
      </c>
      <c r="AM128" s="57">
        <v>0</v>
      </c>
      <c r="AN128" s="61">
        <f t="shared" si="133"/>
        <v>1</v>
      </c>
      <c r="AO128" s="40">
        <f t="shared" si="147"/>
        <v>0</v>
      </c>
      <c r="AP128" s="40">
        <f t="shared" si="148"/>
        <v>0</v>
      </c>
      <c r="AQ128" s="44">
        <f t="shared" si="149"/>
        <v>474.47075234972863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 t="s">
        <v>754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>
        <v>5</v>
      </c>
      <c r="J130" s="212">
        <v>3032</v>
      </c>
      <c r="K130" s="217">
        <f t="shared" si="135"/>
        <v>606.4</v>
      </c>
      <c r="L130" s="34">
        <f t="shared" si="128"/>
        <v>5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652.4864</v>
      </c>
      <c r="N130" s="57">
        <v>0</v>
      </c>
      <c r="O130" s="57">
        <v>1</v>
      </c>
      <c r="P130" s="61">
        <f t="shared" si="129"/>
        <v>4</v>
      </c>
      <c r="Q130" s="40">
        <f t="shared" si="136"/>
        <v>0</v>
      </c>
      <c r="R130" s="40">
        <f t="shared" si="137"/>
        <v>-652.4864</v>
      </c>
      <c r="S130" s="44">
        <f t="shared" si="138"/>
        <v>2609.9456</v>
      </c>
      <c r="T130" s="35">
        <f t="shared" si="139"/>
        <v>4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698.16044800000009</v>
      </c>
      <c r="V130" s="57">
        <v>0</v>
      </c>
      <c r="W130" s="57">
        <v>0</v>
      </c>
      <c r="X130" s="61">
        <f t="shared" si="130"/>
        <v>4</v>
      </c>
      <c r="Y130" s="40">
        <f t="shared" si="140"/>
        <v>0</v>
      </c>
      <c r="Z130" s="40">
        <f t="shared" si="141"/>
        <v>0</v>
      </c>
      <c r="AA130" s="44">
        <f t="shared" si="142"/>
        <v>2792.6417920000004</v>
      </c>
      <c r="AB130" s="35">
        <f t="shared" si="143"/>
        <v>4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746.33351891200005</v>
      </c>
      <c r="AD130" s="57">
        <v>0</v>
      </c>
      <c r="AE130" s="57">
        <v>0</v>
      </c>
      <c r="AF130" s="61">
        <f t="shared" si="131"/>
        <v>4</v>
      </c>
      <c r="AG130" s="40">
        <f t="shared" si="144"/>
        <v>0</v>
      </c>
      <c r="AH130" s="40">
        <f t="shared" si="145"/>
        <v>0</v>
      </c>
      <c r="AI130" s="44">
        <f t="shared" si="146"/>
        <v>2985.3340756480002</v>
      </c>
      <c r="AJ130" s="35">
        <f t="shared" si="132"/>
        <v>4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796.33786467910397</v>
      </c>
      <c r="AL130" s="57">
        <v>0</v>
      </c>
      <c r="AM130" s="57">
        <v>0</v>
      </c>
      <c r="AN130" s="61">
        <f t="shared" si="133"/>
        <v>4</v>
      </c>
      <c r="AO130" s="40">
        <f t="shared" si="147"/>
        <v>0</v>
      </c>
      <c r="AP130" s="40">
        <f t="shared" si="148"/>
        <v>0</v>
      </c>
      <c r="AQ130" s="44">
        <f t="shared" si="149"/>
        <v>3185.3514587164159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 t="s">
        <v>754</v>
      </c>
      <c r="J131" s="212" t="s">
        <v>754</v>
      </c>
      <c r="K131" s="217" t="str">
        <f t="shared" si="135"/>
        <v/>
      </c>
      <c r="L131" s="34">
        <f t="shared" si="128"/>
        <v>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0</v>
      </c>
      <c r="N131" s="57">
        <v>0</v>
      </c>
      <c r="O131" s="57">
        <v>0</v>
      </c>
      <c r="P131" s="61">
        <f t="shared" si="129"/>
        <v>0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0</v>
      </c>
      <c r="V131" s="57">
        <v>0</v>
      </c>
      <c r="W131" s="57">
        <v>0</v>
      </c>
      <c r="X131" s="61">
        <f t="shared" si="130"/>
        <v>0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0</v>
      </c>
      <c r="AD131" s="57">
        <v>0</v>
      </c>
      <c r="AE131" s="57">
        <v>0</v>
      </c>
      <c r="AF131" s="61">
        <f t="shared" si="131"/>
        <v>0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0</v>
      </c>
      <c r="AL131" s="57">
        <v>0</v>
      </c>
      <c r="AM131" s="57">
        <v>0</v>
      </c>
      <c r="AN131" s="61">
        <f t="shared" si="133"/>
        <v>0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>
        <v>3</v>
      </c>
      <c r="J132" s="212">
        <v>2713</v>
      </c>
      <c r="K132" s="217">
        <f t="shared" si="135"/>
        <v>904.33333333333337</v>
      </c>
      <c r="L132" s="34">
        <f t="shared" si="128"/>
        <v>3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934.17633333333333</v>
      </c>
      <c r="N132" s="57">
        <v>1</v>
      </c>
      <c r="O132" s="57">
        <v>0</v>
      </c>
      <c r="P132" s="61">
        <f t="shared" si="129"/>
        <v>4</v>
      </c>
      <c r="Q132" s="40">
        <f t="shared" si="136"/>
        <v>934.17633333333333</v>
      </c>
      <c r="R132" s="40">
        <f t="shared" si="137"/>
        <v>0</v>
      </c>
      <c r="S132" s="44">
        <f t="shared" si="138"/>
        <v>3736.7053333333333</v>
      </c>
      <c r="T132" s="35">
        <f t="shared" si="139"/>
        <v>4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990.22691333333341</v>
      </c>
      <c r="V132" s="57">
        <v>0</v>
      </c>
      <c r="W132" s="57">
        <v>0</v>
      </c>
      <c r="X132" s="61">
        <f t="shared" si="130"/>
        <v>4</v>
      </c>
      <c r="Y132" s="40">
        <f t="shared" si="140"/>
        <v>0</v>
      </c>
      <c r="Z132" s="40">
        <f t="shared" si="141"/>
        <v>0</v>
      </c>
      <c r="AA132" s="44">
        <f t="shared" si="142"/>
        <v>3960.9076533333337</v>
      </c>
      <c r="AB132" s="35">
        <f t="shared" si="143"/>
        <v>4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1048.6503012200001</v>
      </c>
      <c r="AD132" s="57">
        <v>0</v>
      </c>
      <c r="AE132" s="57">
        <v>0</v>
      </c>
      <c r="AF132" s="61">
        <f t="shared" si="131"/>
        <v>4</v>
      </c>
      <c r="AG132" s="40">
        <f t="shared" si="144"/>
        <v>0</v>
      </c>
      <c r="AH132" s="40">
        <f t="shared" si="145"/>
        <v>0</v>
      </c>
      <c r="AI132" s="44">
        <f t="shared" si="146"/>
        <v>4194.6012048800003</v>
      </c>
      <c r="AJ132" s="35">
        <f t="shared" si="132"/>
        <v>4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1108.42336838954</v>
      </c>
      <c r="AL132" s="57">
        <v>0</v>
      </c>
      <c r="AM132" s="57">
        <v>0</v>
      </c>
      <c r="AN132" s="61">
        <f t="shared" si="133"/>
        <v>4</v>
      </c>
      <c r="AO132" s="40">
        <f t="shared" si="147"/>
        <v>0</v>
      </c>
      <c r="AP132" s="40">
        <f t="shared" si="148"/>
        <v>0</v>
      </c>
      <c r="AQ132" s="44">
        <f t="shared" si="149"/>
        <v>4433.6934735581599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>
        <v>3</v>
      </c>
      <c r="J133" s="212">
        <v>3207</v>
      </c>
      <c r="K133" s="217">
        <f t="shared" si="135"/>
        <v>1069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1104.2769999999998</v>
      </c>
      <c r="N133" s="57">
        <v>0</v>
      </c>
      <c r="O133" s="57">
        <v>0</v>
      </c>
      <c r="P133" s="61">
        <f t="shared" si="129"/>
        <v>3</v>
      </c>
      <c r="Q133" s="40">
        <f t="shared" si="136"/>
        <v>0</v>
      </c>
      <c r="R133" s="40">
        <f t="shared" si="137"/>
        <v>0</v>
      </c>
      <c r="S133" s="44">
        <f t="shared" si="138"/>
        <v>3312.8309999999992</v>
      </c>
      <c r="T133" s="35">
        <f t="shared" si="139"/>
        <v>3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1170.5336199999999</v>
      </c>
      <c r="V133" s="57">
        <v>0</v>
      </c>
      <c r="W133" s="57">
        <v>0</v>
      </c>
      <c r="X133" s="61">
        <f t="shared" si="130"/>
        <v>3</v>
      </c>
      <c r="Y133" s="40">
        <f t="shared" si="140"/>
        <v>0</v>
      </c>
      <c r="Z133" s="40">
        <f t="shared" si="141"/>
        <v>0</v>
      </c>
      <c r="AA133" s="44">
        <f t="shared" si="142"/>
        <v>3511.6008599999996</v>
      </c>
      <c r="AB133" s="35">
        <f t="shared" si="143"/>
        <v>3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1239.5951035799999</v>
      </c>
      <c r="AD133" s="57">
        <v>0</v>
      </c>
      <c r="AE133" s="57">
        <v>0</v>
      </c>
      <c r="AF133" s="61">
        <f t="shared" si="131"/>
        <v>3</v>
      </c>
      <c r="AG133" s="40">
        <f t="shared" si="144"/>
        <v>0</v>
      </c>
      <c r="AH133" s="40">
        <f t="shared" si="145"/>
        <v>0</v>
      </c>
      <c r="AI133" s="44">
        <f t="shared" si="146"/>
        <v>3718.7853107399997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1310.2520244840598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3930.7560734521794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1</v>
      </c>
      <c r="J134" s="212">
        <v>1268</v>
      </c>
      <c r="K134" s="217">
        <f t="shared" si="135"/>
        <v>1268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1309.8439999999998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1309.8439999999998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1388.4346399999999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1388.4346399999999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1470.3522837599999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1470.3522837599999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1554.1623639343197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1554.1623639343197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21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12766</v>
      </c>
      <c r="K140" s="41">
        <f>IFERROR(J140/I140,"")</f>
        <v>607.90476190476193</v>
      </c>
      <c r="L140" s="41">
        <f>SUM(L120:L139)</f>
        <v>21</v>
      </c>
      <c r="M140" s="41">
        <f>IFERROR(S140/P140,0)</f>
        <v>665.7282798163385</v>
      </c>
      <c r="N140" s="41">
        <f t="shared" ref="N140:T140" si="151">SUM(N120:N139)</f>
        <v>1</v>
      </c>
      <c r="O140" s="41">
        <f t="shared" si="151"/>
        <v>2</v>
      </c>
      <c r="P140" s="41">
        <f t="shared" si="151"/>
        <v>20</v>
      </c>
      <c r="Q140" s="41">
        <f t="shared" si="151"/>
        <v>934.17633333333333</v>
      </c>
      <c r="R140" s="41">
        <f t="shared" si="151"/>
        <v>-1041.2120217965312</v>
      </c>
      <c r="S140" s="45">
        <f t="shared" si="151"/>
        <v>13314.565596326769</v>
      </c>
      <c r="T140" s="41">
        <f t="shared" si="151"/>
        <v>20</v>
      </c>
      <c r="U140" s="41">
        <f>IFERROR(AA140/X140,0)</f>
        <v>708.15345285977651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20</v>
      </c>
      <c r="Y140" s="41">
        <f t="shared" si="152"/>
        <v>0</v>
      </c>
      <c r="Z140" s="41">
        <f t="shared" si="152"/>
        <v>0</v>
      </c>
      <c r="AA140" s="45">
        <f t="shared" si="152"/>
        <v>14163.069057195531</v>
      </c>
      <c r="AB140" s="41">
        <f t="shared" si="152"/>
        <v>20</v>
      </c>
      <c r="AC140" s="41">
        <f>IFERROR(AI140/AF140,0)</f>
        <v>752.58972513562549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20</v>
      </c>
      <c r="AG140" s="41">
        <f t="shared" si="153"/>
        <v>0</v>
      </c>
      <c r="AH140" s="41">
        <f t="shared" si="153"/>
        <v>0</v>
      </c>
      <c r="AI140" s="45">
        <f t="shared" si="153"/>
        <v>15051.79450271251</v>
      </c>
      <c r="AJ140" s="41">
        <f t="shared" si="153"/>
        <v>20</v>
      </c>
      <c r="AK140" s="41">
        <f>IFERROR(AQ140/AN140,0)</f>
        <v>798.32580979960164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20</v>
      </c>
      <c r="AO140" s="41">
        <f t="shared" si="154"/>
        <v>0</v>
      </c>
      <c r="AP140" s="41">
        <f t="shared" si="154"/>
        <v>0</v>
      </c>
      <c r="AQ140" s="45">
        <f t="shared" si="154"/>
        <v>15966.516195992033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13985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15617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16004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17220.304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670.43440367323092</v>
      </c>
      <c r="T142" s="39"/>
      <c r="U142" s="39"/>
      <c r="V142" s="53"/>
      <c r="W142" s="53"/>
      <c r="X142" s="110"/>
      <c r="Y142" s="39"/>
      <c r="Z142" s="39"/>
      <c r="AA142" s="54">
        <f>AA141-AA140</f>
        <v>1453.9309428044689</v>
      </c>
      <c r="AB142" s="39"/>
      <c r="AC142" s="53"/>
      <c r="AD142" s="53"/>
      <c r="AE142" s="110"/>
      <c r="AF142" s="39"/>
      <c r="AG142" s="39"/>
      <c r="AH142" s="39"/>
      <c r="AI142" s="54">
        <f>AI141-AI140</f>
        <v>952.20549728749029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1253.7878040079668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9Nga9wD5+rU59SPbS2hZ9XTvd3h2N6rBsdKg8mFgBadIaNpUKtKdBX83K/LlzIotWyFNRVyUwDr1wMv577Lrow==" saltValue="7QbixoCffV+/crucSo8L0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Women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13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42671.495017245368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NAT_HRBP__42671.4950172454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HRBP-Vote13.xlsx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df7ca258-5e24-45de-bd31-dbc76bc6765a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